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https://supen-my.sharepoint.com/personal/ariasgj_supen_fi_cr/Documents/Datos/Borradores de carta/"/>
    </mc:Choice>
  </mc:AlternateContent>
  <xr:revisionPtr revIDLastSave="9" documentId="8_{C584E48D-7F6D-40E7-A043-152EE7F2216E}" xr6:coauthVersionLast="45" xr6:coauthVersionMax="45" xr10:uidLastSave="{A6E209C6-A7CA-4967-93DA-BF9D663D66C1}"/>
  <bookViews>
    <workbookView xWindow="-120" yWindow="-120" windowWidth="20730" windowHeight="11160" tabRatio="914" xr2:uid="{00000000-000D-0000-FFFF-FFFF00000000}"/>
  </bookViews>
  <sheets>
    <sheet name="Presupuesto Detallado" sheetId="18" r:id="rId1"/>
    <sheet name="Inversiones" sheetId="3" r:id="rId2"/>
    <sheet name="Plurianual" sheetId="36" r:id="rId3"/>
  </sheets>
  <definedNames>
    <definedName name="_xlnm.Print_Area" localSheetId="1">Inversiones!$B$2:$I$15</definedName>
    <definedName name="_xlnm.Print_Area" localSheetId="0">'Presupuesto Detallado'!$A$7:$I$228</definedName>
    <definedName name="base">#REF!</definedName>
    <definedName name="pro">#REF!</definedName>
    <definedName name="_xlnm.Print_Titles" localSheetId="1">Inversiones!$2:$10</definedName>
    <definedName name="_xlnm.Print_Titles" localSheetId="0">'Presupuesto Detallado'!$2:$6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6" i="18" l="1"/>
  <c r="F225" i="18"/>
  <c r="F224" i="18"/>
  <c r="F223" i="18"/>
  <c r="F222" i="18"/>
  <c r="F200" i="18"/>
  <c r="G133" i="18"/>
  <c r="F123" i="18"/>
  <c r="F122" i="18"/>
  <c r="F121" i="18"/>
  <c r="F120" i="18"/>
  <c r="F119" i="18"/>
  <c r="F114" i="18"/>
  <c r="F109" i="18"/>
  <c r="F106" i="18"/>
  <c r="G103" i="18"/>
  <c r="F102" i="18"/>
  <c r="G97" i="18"/>
  <c r="G93" i="18"/>
  <c r="F92" i="18"/>
  <c r="G89" i="18"/>
  <c r="G87" i="18"/>
  <c r="G83" i="18"/>
  <c r="F82" i="18"/>
  <c r="F80" i="18"/>
  <c r="F79" i="18"/>
  <c r="F78" i="18"/>
  <c r="F70" i="18"/>
  <c r="F69" i="18"/>
  <c r="F68" i="18"/>
  <c r="G66" i="18"/>
  <c r="G45" i="18"/>
  <c r="G44" i="18"/>
  <c r="G43" i="18"/>
  <c r="G42" i="18"/>
  <c r="G38" i="18"/>
  <c r="G37" i="18"/>
  <c r="G36" i="18"/>
  <c r="G35" i="18"/>
  <c r="G34" i="18"/>
  <c r="G30" i="18"/>
  <c r="G29" i="18"/>
  <c r="F28" i="18"/>
  <c r="F25" i="18"/>
  <c r="G23" i="18"/>
  <c r="F19" i="18"/>
  <c r="F17" i="18"/>
  <c r="F12" i="18"/>
  <c r="E20" i="36" l="1"/>
  <c r="D20" i="36"/>
  <c r="C20" i="36"/>
  <c r="B20" i="36"/>
  <c r="E19" i="36"/>
  <c r="D19" i="36"/>
  <c r="C19" i="36"/>
  <c r="B19" i="36"/>
  <c r="B27" i="36" s="1"/>
  <c r="B8" i="36" l="1"/>
  <c r="D27" i="36" l="1"/>
  <c r="C27" i="36"/>
  <c r="B28" i="36"/>
  <c r="E27" i="36"/>
  <c r="E8" i="36"/>
  <c r="E15" i="36" s="1"/>
  <c r="D8" i="36"/>
  <c r="D15" i="36" s="1"/>
  <c r="C8" i="36"/>
  <c r="C15" i="36" s="1"/>
  <c r="B15" i="36"/>
  <c r="D28" i="36" l="1"/>
  <c r="E28" i="36"/>
  <c r="C28" i="36"/>
  <c r="I13" i="3" l="1"/>
  <c r="I12" i="3" l="1"/>
  <c r="I11" i="3"/>
  <c r="I14" i="3"/>
  <c r="I15" i="3" l="1"/>
  <c r="G221" i="18"/>
  <c r="G11" i="18" l="1"/>
  <c r="G199" i="18" l="1"/>
  <c r="G118" i="18"/>
  <c r="G113" i="18"/>
  <c r="G94" i="18" l="1"/>
  <c r="H148" i="18"/>
  <c r="G130" i="18"/>
  <c r="H111" i="18"/>
  <c r="G104" i="18"/>
  <c r="G81" i="18"/>
  <c r="G64" i="18"/>
  <c r="G62" i="18"/>
  <c r="G18" i="18"/>
  <c r="G27" i="18"/>
  <c r="G16" i="18"/>
  <c r="H9" i="18"/>
  <c r="G107" i="18" l="1"/>
  <c r="G67" i="18"/>
  <c r="G77" i="18"/>
  <c r="H197" i="18" l="1"/>
  <c r="G190" i="18" l="1"/>
  <c r="H185" i="18" s="1"/>
  <c r="I183" i="18" s="1"/>
  <c r="H158" i="18" l="1"/>
  <c r="H53" i="18"/>
  <c r="H139" i="18"/>
  <c r="G91" i="18" l="1"/>
  <c r="H85" i="18" s="1"/>
  <c r="I17" i="3" l="1"/>
  <c r="H219" i="18" l="1"/>
  <c r="H216" i="18"/>
  <c r="G212" i="18" l="1"/>
  <c r="G206" i="18"/>
  <c r="H204" i="18" s="1"/>
  <c r="H172" i="18"/>
  <c r="H167" i="18"/>
  <c r="H154" i="18"/>
  <c r="H142" i="18"/>
  <c r="H128" i="18"/>
  <c r="H116" i="18"/>
  <c r="G101" i="18"/>
  <c r="H75" i="18"/>
  <c r="H47" i="18"/>
  <c r="H40" i="18"/>
  <c r="H32" i="18"/>
  <c r="G24" i="18"/>
  <c r="H99" i="18" l="1"/>
  <c r="H14" i="18"/>
  <c r="H210" i="18"/>
  <c r="I202" i="18" s="1"/>
  <c r="H60" i="18"/>
  <c r="H21" i="18"/>
  <c r="I146" i="18"/>
  <c r="I51" i="18" l="1"/>
  <c r="I7" i="18"/>
  <c r="I228" i="18" l="1"/>
</calcChain>
</file>

<file path=xl/sharedStrings.xml><?xml version="1.0" encoding="utf-8"?>
<sst xmlns="http://schemas.openxmlformats.org/spreadsheetml/2006/main" count="376" uniqueCount="308">
  <si>
    <t>Seguro de daños</t>
  </si>
  <si>
    <t>CAPACITACIÓN Y PROTOCOLO</t>
  </si>
  <si>
    <t>1.07.01</t>
  </si>
  <si>
    <t>Actividades de capacitación</t>
  </si>
  <si>
    <t>Alquiler de equipo, sala o local para capacitación</t>
  </si>
  <si>
    <t xml:space="preserve">Alimentación para participantes en eventos de capacitación </t>
  </si>
  <si>
    <t>Contrataciones de instructores y de personal de apoyo</t>
  </si>
  <si>
    <t>Suscripciones a congresos, seminarios y similares</t>
  </si>
  <si>
    <t>1.07.02</t>
  </si>
  <si>
    <t xml:space="preserve">Actividades protocolarias y sociales </t>
  </si>
  <si>
    <t>1.07.03</t>
  </si>
  <si>
    <t>Gastos de representación institucional</t>
  </si>
  <si>
    <t>Superintendente</t>
  </si>
  <si>
    <t>MANTENIMIENTO Y REPARACIÓN</t>
  </si>
  <si>
    <t>1.08.01</t>
  </si>
  <si>
    <t xml:space="preserve">Mantenimiento de edificios y locales </t>
  </si>
  <si>
    <t>1.08.05</t>
  </si>
  <si>
    <t xml:space="preserve">Mantenimiento y reparación de equipo de transporte </t>
  </si>
  <si>
    <t>1.08.07</t>
  </si>
  <si>
    <t xml:space="preserve">Mantenimiento y reparación de equipo y mobiliario de oficina </t>
  </si>
  <si>
    <t>1.08.08</t>
  </si>
  <si>
    <t>Mantenimiento y reparación de equipo de cómputo y  sistemas de información</t>
  </si>
  <si>
    <t>SERVICIOS DIVERSOS</t>
  </si>
  <si>
    <t>1.99.99</t>
  </si>
  <si>
    <t>Otros servicios no especificados</t>
  </si>
  <si>
    <t xml:space="preserve">MATERIALES Y SUMINISTROS </t>
  </si>
  <si>
    <t>2 .01</t>
  </si>
  <si>
    <t xml:space="preserve">PRODUCTOS QUÍMICOS Y CONEXOS </t>
  </si>
  <si>
    <t>2.01.01</t>
  </si>
  <si>
    <t>Combustibles y lubricantes</t>
  </si>
  <si>
    <t>2.01.02</t>
  </si>
  <si>
    <t>Productos farmacéuticos y medicinales</t>
  </si>
  <si>
    <t>2.01.04</t>
  </si>
  <si>
    <t>Tintas, pinturas y diluyentes</t>
  </si>
  <si>
    <t>ALIMENTOS Y PRODUCTOS AGROPECUARIOS</t>
  </si>
  <si>
    <t>2.02.03</t>
  </si>
  <si>
    <t>Alimentos y bebidas</t>
  </si>
  <si>
    <t xml:space="preserve">MATERIALES Y PRODUCTOS DE USO EN LA CONSTRUCCIÓN Y MANTENIMIENTO </t>
  </si>
  <si>
    <t>2.03.01</t>
  </si>
  <si>
    <t xml:space="preserve">Materiales y productos metálicos </t>
  </si>
  <si>
    <t>2.03.02</t>
  </si>
  <si>
    <t>Materiales y productos minerales y asfálticos</t>
  </si>
  <si>
    <t>2.03.03</t>
  </si>
  <si>
    <t>Madera y sus derivados</t>
  </si>
  <si>
    <t>2.03.04</t>
  </si>
  <si>
    <t>Materiales y productos eléctricos, telefónicos y de cómputo</t>
  </si>
  <si>
    <t>2.03.99</t>
  </si>
  <si>
    <t xml:space="preserve">Otros materiales y productos de uso en la construcción </t>
  </si>
  <si>
    <t>HERRAMIENTAS, REPUESTOS Y ACCESORIOS</t>
  </si>
  <si>
    <t>2.04.01</t>
  </si>
  <si>
    <t>Herramientas e instrumentos</t>
  </si>
  <si>
    <t>2.04.02</t>
  </si>
  <si>
    <t>Repuestos y accesorios</t>
  </si>
  <si>
    <t>ÚTILES,  MATERIALES Y  SUMINISTROS DIVERSOS</t>
  </si>
  <si>
    <t>2.99.01</t>
  </si>
  <si>
    <t xml:space="preserve">Útiles y materiales de oficina y cómputo </t>
  </si>
  <si>
    <t>2.99.03</t>
  </si>
  <si>
    <t xml:space="preserve">Productos de papel, cartón e impresos </t>
  </si>
  <si>
    <t xml:space="preserve">0.03.99  </t>
  </si>
  <si>
    <t>Otros incentivos salariales</t>
  </si>
  <si>
    <t>0.03.04</t>
  </si>
  <si>
    <t>2.99.04</t>
  </si>
  <si>
    <t>Textiles y vestuario</t>
  </si>
  <si>
    <t>2.99.05</t>
  </si>
  <si>
    <t xml:space="preserve">Útiles y materiales de limpieza </t>
  </si>
  <si>
    <t>2.99.07</t>
  </si>
  <si>
    <t xml:space="preserve">Útiles y materiales de cocina y comedor </t>
  </si>
  <si>
    <t>2.99.99</t>
  </si>
  <si>
    <t>Otros útiles, materiales y suministros</t>
  </si>
  <si>
    <t xml:space="preserve">BIENES DURADEROS </t>
  </si>
  <si>
    <t>MAQUINARIA, EQUIPO Y MOBILIARIO</t>
  </si>
  <si>
    <t>5.01.02</t>
  </si>
  <si>
    <t xml:space="preserve">Equipo de transporte </t>
  </si>
  <si>
    <t>5.01.04</t>
  </si>
  <si>
    <t xml:space="preserve">Equipo y mobiliario de oficina </t>
  </si>
  <si>
    <t>5.01.05</t>
  </si>
  <si>
    <t xml:space="preserve">Equipo y programas de  cómputo </t>
  </si>
  <si>
    <t>Hardware</t>
  </si>
  <si>
    <t>Software (compra de paquetes elaborados)</t>
  </si>
  <si>
    <t>5.01.06</t>
  </si>
  <si>
    <t xml:space="preserve">Equipo sanitario, de laboratorio e investigación </t>
  </si>
  <si>
    <t>5.01.07</t>
  </si>
  <si>
    <t xml:space="preserve">Equipo y mobiliario educacional, deportivo y recreativo </t>
  </si>
  <si>
    <t>5.01.99</t>
  </si>
  <si>
    <t xml:space="preserve">Maquinaria y equipo diverso </t>
  </si>
  <si>
    <t xml:space="preserve">TRANSFERENCIAS CORRIENTES </t>
  </si>
  <si>
    <t>TRANSFERENCIAS CORRIENTES A PERSONAS</t>
  </si>
  <si>
    <t>6.02.01</t>
  </si>
  <si>
    <t xml:space="preserve">Becas a funcionarios  </t>
  </si>
  <si>
    <t>Capacitación en territorio nacional</t>
  </si>
  <si>
    <t>PRESTACIONES</t>
  </si>
  <si>
    <t>6.03.01</t>
  </si>
  <si>
    <t>Preaviso y cesantía</t>
  </si>
  <si>
    <t>6.03.99</t>
  </si>
  <si>
    <t>Otras prestaciones a terceras personas</t>
  </si>
  <si>
    <t>TRANSFERENCIAS CORRIENTES AL SECTOR EXTERNO</t>
  </si>
  <si>
    <t>6.07.01</t>
  </si>
  <si>
    <t>Transferencias corrientes a organismos internacionales</t>
  </si>
  <si>
    <t>Conferencia internacional de la Seguridad Social (CISS)</t>
  </si>
  <si>
    <t>Asociación internacional de Organismos de Supervisión (AIOS)</t>
  </si>
  <si>
    <t>Organismo Internacional de Sistemas de Pensiones (IOPS)</t>
  </si>
  <si>
    <t>Costo
Total</t>
  </si>
  <si>
    <t>INSTANCIA</t>
  </si>
  <si>
    <t>CÓDIGO</t>
  </si>
  <si>
    <t>OBJETO DEL GASTO</t>
  </si>
  <si>
    <t>CUENTA</t>
  </si>
  <si>
    <t>TOTAL</t>
  </si>
  <si>
    <t>Salario escolar</t>
  </si>
  <si>
    <t>Tiempo extraordinario</t>
  </si>
  <si>
    <t>Prestaciones legales</t>
  </si>
  <si>
    <t>Capacitación</t>
  </si>
  <si>
    <t>TOTAL GENERAL</t>
  </si>
  <si>
    <t>Otros alquileres</t>
  </si>
  <si>
    <t>Cuenta</t>
  </si>
  <si>
    <t>Nombre del bien o artículo</t>
  </si>
  <si>
    <t>Cantidad</t>
  </si>
  <si>
    <t>Necesidad que resuelve</t>
  </si>
  <si>
    <t>Resultado asociado con el bien</t>
  </si>
  <si>
    <t>Operaciones normales apoyadas con el bien</t>
  </si>
  <si>
    <t>Diferentes proyectos estratégicos apoyados con el bien</t>
  </si>
  <si>
    <t>INGRESOS</t>
  </si>
  <si>
    <t>Impresión, encuadernación y otros</t>
  </si>
  <si>
    <t>Servicio de agua y alcantarillado</t>
  </si>
  <si>
    <t>Otros</t>
  </si>
  <si>
    <t>Otros servicios</t>
  </si>
  <si>
    <t>Prohibición</t>
  </si>
  <si>
    <t>Gestión Administrativa</t>
  </si>
  <si>
    <t>Mejorar las herramientas de trabajo de los funcionarios</t>
  </si>
  <si>
    <t>Mejorar la tecnología de usuario final</t>
  </si>
  <si>
    <t xml:space="preserve">REMUNERACIONES </t>
  </si>
  <si>
    <t xml:space="preserve">REMUNERACIONES BÁSICAS </t>
  </si>
  <si>
    <t>0.01.01</t>
  </si>
  <si>
    <t xml:space="preserve">Sueldos para cargos fijos </t>
  </si>
  <si>
    <t xml:space="preserve">REMUNERACIONES EVENTUALES </t>
  </si>
  <si>
    <t>0.02.01</t>
  </si>
  <si>
    <t xml:space="preserve">Tiempo extraordinario </t>
  </si>
  <si>
    <t>0.02.02</t>
  </si>
  <si>
    <t>Recargo de funciones</t>
  </si>
  <si>
    <t>Recargos</t>
  </si>
  <si>
    <t>INCENTIVOS SALARIALES</t>
  </si>
  <si>
    <t xml:space="preserve">0.03.01 </t>
  </si>
  <si>
    <t>Retribución por años servidos</t>
  </si>
  <si>
    <t xml:space="preserve">0.03.02  </t>
  </si>
  <si>
    <t>Restricción al ejercicio liberal de la profesión</t>
  </si>
  <si>
    <t>Dedicación exclusiva</t>
  </si>
  <si>
    <t xml:space="preserve">0.03.03  </t>
  </si>
  <si>
    <t>Decimotercer mes</t>
  </si>
  <si>
    <t xml:space="preserve">CONTRIBUCIONES PATRONALES AL DESARROLLO Y LA SEGURIDAD SOCIAL </t>
  </si>
  <si>
    <t>0.04.01</t>
  </si>
  <si>
    <t xml:space="preserve">0.04.02 </t>
  </si>
  <si>
    <t xml:space="preserve">Contribución Patronal al Instituto Mixto de Ayuda Social </t>
  </si>
  <si>
    <t xml:space="preserve">0.04.03  </t>
  </si>
  <si>
    <t>Contribución Patronal al Instituto Nacional de Aprendizaje</t>
  </si>
  <si>
    <t xml:space="preserve">0.04.04 </t>
  </si>
  <si>
    <t xml:space="preserve">Contribución Patronal al Fondo de Desarrollo Social y Asignaciones Familiares </t>
  </si>
  <si>
    <t>0.04.05</t>
  </si>
  <si>
    <t>Contribución Patronal al Banco Popular y de Desarrollo Comunal</t>
  </si>
  <si>
    <t>CONTRIBUCIONES PATRONALES A FONDOS DE PENSIONES  Y OTROS FONDOS DE CAPITALIZACIÓN</t>
  </si>
  <si>
    <t xml:space="preserve">0.05.01 </t>
  </si>
  <si>
    <t>0.05.02</t>
  </si>
  <si>
    <t xml:space="preserve">Aporte Patronal al Régimen Obligatorio de Pensiones Complementarias </t>
  </si>
  <si>
    <t>0.05.03</t>
  </si>
  <si>
    <t xml:space="preserve">Aporte Patronal al Fondo de Capitalización Laboral  </t>
  </si>
  <si>
    <t>0.05.05</t>
  </si>
  <si>
    <r>
      <t xml:space="preserve">Contribución Patronal a fondos administrados por entes privados, </t>
    </r>
    <r>
      <rPr>
        <b/>
        <sz val="8"/>
        <rFont val="Arial"/>
        <family val="2"/>
      </rPr>
      <t>(5,33%)</t>
    </r>
  </si>
  <si>
    <t>REMUNERACIONES DIVERSAS</t>
  </si>
  <si>
    <t xml:space="preserve"> </t>
  </si>
  <si>
    <t>0.99.99</t>
  </si>
  <si>
    <t xml:space="preserve">Otras remuneraciones </t>
  </si>
  <si>
    <t xml:space="preserve">SERVICIOS </t>
  </si>
  <si>
    <t>ALQUILERES</t>
  </si>
  <si>
    <t>1.01.01</t>
  </si>
  <si>
    <t xml:space="preserve">Alquiler de edificios, locales y terrenos </t>
  </si>
  <si>
    <t>1.01.03</t>
  </si>
  <si>
    <t>Alquiler de equipo de cómputo</t>
  </si>
  <si>
    <t>1.01.99</t>
  </si>
  <si>
    <t>SERVICIOS BÁSICOS</t>
  </si>
  <si>
    <t>1.02.01</t>
  </si>
  <si>
    <t>Edificio Central</t>
  </si>
  <si>
    <t xml:space="preserve">1.02.02 </t>
  </si>
  <si>
    <t>Servicio de energía eléctrica</t>
  </si>
  <si>
    <t>1.02.03</t>
  </si>
  <si>
    <t>Servicio de correo</t>
  </si>
  <si>
    <t>1.02.04</t>
  </si>
  <si>
    <t>Servicio de telecomunicaciones</t>
  </si>
  <si>
    <t>Servicio telefónico nacional</t>
  </si>
  <si>
    <t>Servicio telefónico internacional</t>
  </si>
  <si>
    <t>Servicio celular</t>
  </si>
  <si>
    <t xml:space="preserve">Servicio redes informáticas </t>
  </si>
  <si>
    <t>SERVICIOS COMERCIALES Y FINANCIEROS</t>
  </si>
  <si>
    <t>1.03.01</t>
  </si>
  <si>
    <t xml:space="preserve">Información </t>
  </si>
  <si>
    <t>Medios escritos</t>
  </si>
  <si>
    <t>Radio y televisión</t>
  </si>
  <si>
    <t>1.03.03</t>
  </si>
  <si>
    <t>SERVICIOS DE GESTIÓN Y APOYO</t>
  </si>
  <si>
    <t>1.04.04</t>
  </si>
  <si>
    <t>Servicios en ciencias económicas y sociales</t>
  </si>
  <si>
    <t>1.04.05</t>
  </si>
  <si>
    <t>Servicios de desarrollo de sistemas informáticos</t>
  </si>
  <si>
    <t>1.04.06</t>
  </si>
  <si>
    <t>Servicios generales</t>
  </si>
  <si>
    <t>Limpieza</t>
  </si>
  <si>
    <t>1.04.99</t>
  </si>
  <si>
    <t>Otros servicios de gestión y apoyo</t>
  </si>
  <si>
    <t>GASTOS DE VIAJE Y DE TRANSPORTE</t>
  </si>
  <si>
    <t>1.05.01</t>
  </si>
  <si>
    <t>Transporte dentro del país</t>
  </si>
  <si>
    <t>Pasajes y otros</t>
  </si>
  <si>
    <t>1.05.02</t>
  </si>
  <si>
    <t>Viáticos dentro del país</t>
  </si>
  <si>
    <t>1.05.03</t>
  </si>
  <si>
    <t>Transporte en el exterior</t>
  </si>
  <si>
    <t>Viajes oficiales</t>
  </si>
  <si>
    <t>1.05.04</t>
  </si>
  <si>
    <t>Viáticos en el exterior</t>
  </si>
  <si>
    <t>SEGUROS, REASEGUROS Y OTRAS OBLIGACIONES</t>
  </si>
  <si>
    <t>1.06.01</t>
  </si>
  <si>
    <t>Seguros</t>
  </si>
  <si>
    <t>5.01.03</t>
  </si>
  <si>
    <t>Equipo de Comunicación</t>
  </si>
  <si>
    <t>Transferencias Corrientes</t>
  </si>
  <si>
    <t>1.08.99</t>
  </si>
  <si>
    <t>1.08.06</t>
  </si>
  <si>
    <t xml:space="preserve">Mantenimiento y reparación de equipo de comunicación </t>
  </si>
  <si>
    <t>1.03.07</t>
  </si>
  <si>
    <t>Servicio de Transferencia Electrónica de Información</t>
  </si>
  <si>
    <t>Equipo de comunicación</t>
  </si>
  <si>
    <t>(En miles de colones)</t>
  </si>
  <si>
    <t xml:space="preserve">JUSTIFICACIÓN DEL REQUERIMIENTO </t>
  </si>
  <si>
    <t>Mantenimiento y reparación de otros equipos</t>
  </si>
  <si>
    <t>1.04.02</t>
  </si>
  <si>
    <t>Servicios jurídicos</t>
  </si>
  <si>
    <t>2.99.06</t>
  </si>
  <si>
    <t>Útiles y materiales de resguardo y seguridad</t>
  </si>
  <si>
    <t>6.06</t>
  </si>
  <si>
    <t>6.07</t>
  </si>
  <si>
    <t>OTRAS TRASNFERENCIAS CORRIENTES AL SECTOR PRIVADO</t>
  </si>
  <si>
    <t>6.06.01</t>
  </si>
  <si>
    <t>Indemnizaciones</t>
  </si>
  <si>
    <t>1.01.02</t>
  </si>
  <si>
    <t>Alquiler de maquinaria, equipo y mobiliario</t>
  </si>
  <si>
    <t>Servicio de Radiolocalizador</t>
  </si>
  <si>
    <t>1.04.01</t>
  </si>
  <si>
    <t>1.08.04</t>
  </si>
  <si>
    <t>Mantenimiento y reparación de maquinaria y equipo de producción</t>
  </si>
  <si>
    <t>1.02.99</t>
  </si>
  <si>
    <t>Otros servicios básicos</t>
  </si>
  <si>
    <t>1.09.99</t>
  </si>
  <si>
    <t>IMPUESTOS</t>
  </si>
  <si>
    <t>Otros Impuestos</t>
  </si>
  <si>
    <t>2.99.02</t>
  </si>
  <si>
    <t>Útiles y materiales médico, hospitalario y de investigación</t>
  </si>
  <si>
    <t>SUB
SUBCUENTA</t>
  </si>
  <si>
    <t>Equipo y mobiliario educacional, deportivo y recreativo</t>
  </si>
  <si>
    <t>2.03.06</t>
  </si>
  <si>
    <t>Materiales y productos de plástico</t>
  </si>
  <si>
    <t>Contribución Patronal al Seguro de Salud de la CCSS</t>
  </si>
  <si>
    <t>Contribución Patronal al Seguro de Pensiones de la CCSS</t>
  </si>
  <si>
    <t>BIENES INTANGIBLES</t>
  </si>
  <si>
    <t>5.99.03</t>
  </si>
  <si>
    <t>Bienes Intangibles</t>
  </si>
  <si>
    <t>Organización Iberoamericana de Seguridad Social</t>
  </si>
  <si>
    <t>Recarga de extintores</t>
  </si>
  <si>
    <t>Cuadro # 10</t>
  </si>
  <si>
    <t>6.02.02</t>
  </si>
  <si>
    <t>Becas a terceras personas</t>
  </si>
  <si>
    <t>Servicios de ciencia de la salud</t>
  </si>
  <si>
    <t>Viajes y viáticos de capacitación</t>
  </si>
  <si>
    <t>Plan Estratégico 2019-2023</t>
  </si>
  <si>
    <t>Aporte del Banco Central de Costa Rica, sobre el 100% del presupuesto, según artículo 174, Ley 7732</t>
  </si>
  <si>
    <t>Cuadro # 12</t>
  </si>
  <si>
    <t>Plan de mantenimiento SUPEN</t>
  </si>
  <si>
    <t xml:space="preserve">Asociación Internacional de Actuariado </t>
  </si>
  <si>
    <t>Presupuesto de egresos detallado para el año 2021</t>
  </si>
  <si>
    <t>Licencias de actualización del programa de supervisión Team Mate</t>
  </si>
  <si>
    <t>Dotar de televisor a las salas de capacitación y reuniones</t>
  </si>
  <si>
    <t xml:space="preserve">Instalar en las oficinas pizarras que permitan hacer reuniones con el personal </t>
  </si>
  <si>
    <t xml:space="preserve">Tener facilidades para realizar capacitaciones </t>
  </si>
  <si>
    <t>Mojar en la ejecución de tareas</t>
  </si>
  <si>
    <t>Actualización de licencias para el programa de supervisión</t>
  </si>
  <si>
    <t>REQUERIMIENTO PARA EL PERÍODO-POI/2021</t>
  </si>
  <si>
    <t>Plan de Inversiones y Justificación de Partidas para el 2021</t>
  </si>
  <si>
    <t xml:space="preserve">Licencias para la transcripción de actas y comparecencias </t>
  </si>
  <si>
    <t>Para transcripción de comparecencias y actas</t>
  </si>
  <si>
    <t>Facilitar la posibilidad de hacer reuniones con el personal del área</t>
  </si>
  <si>
    <t>Presupuesto Plurianual</t>
  </si>
  <si>
    <t>(en millones de colones)</t>
  </si>
  <si>
    <t>VINCULACIÓN CON OBJETIVOS Y METAS DE MEDIANO Y LARGO PLAZO</t>
  </si>
  <si>
    <t xml:space="preserve">INGRESOS CORRIENTES </t>
  </si>
  <si>
    <t>Ingresos Tributarios</t>
  </si>
  <si>
    <t xml:space="preserve">Contribuciones Sociales </t>
  </si>
  <si>
    <t>Ingresos no Tributarios</t>
  </si>
  <si>
    <t>INGRESOS DE CAPITAL</t>
  </si>
  <si>
    <t>FINANCIAMIENTO</t>
  </si>
  <si>
    <t xml:space="preserve">GASTOS </t>
  </si>
  <si>
    <t>GASTO CORRIENTE</t>
  </si>
  <si>
    <t xml:space="preserve">Gastos de Consumo </t>
  </si>
  <si>
    <t xml:space="preserve">  Remuneraciones</t>
  </si>
  <si>
    <t xml:space="preserve"> Adquisición de bienes y servicios </t>
  </si>
  <si>
    <t>GASTO DE CAPITAL</t>
  </si>
  <si>
    <t>SUMAS SIN ASIGNACIÓN PRESUPUESTARIA</t>
  </si>
  <si>
    <r>
      <t>Ingresos - Gastos</t>
    </r>
    <r>
      <rPr>
        <sz val="8"/>
        <rFont val="Arial"/>
        <family val="2"/>
      </rPr>
      <t>1/</t>
    </r>
  </si>
  <si>
    <t>1/: Deben cumplir con principio de equilibrio presupuestario</t>
  </si>
  <si>
    <r>
      <t xml:space="preserve">Análisis de Resultados de proyecciones de ingresos y gastos: </t>
    </r>
    <r>
      <rPr>
        <sz val="11"/>
        <color theme="1"/>
        <rFont val="Arial"/>
        <family val="2"/>
      </rPr>
      <t>La proyección presupuestaria plurianual se desarrolló bajo la premisa de vislumbrar e identificar tendencias de gasto a futuro, de tal forma que le permitan a la superintendencia tomar medidas preventivas oportunamente con respecto a la demanda y los requerimientos presupuestarios a futuro que le ayuden a visualizar, en forma global, la asignación de recursos para el cumplimiento de sus objetivos y metas definidos en la planificación de mediano plazo o para el financiamiento sostenido de los gastos recurrentes. Para alcanzar el equilibrio presupuestario, se consideró en el análisis la asignación eficiente de los recursos, la continuidad de la prestación de los servicios públicos y el aseguramiento financiero de los programas y proyectos de la SUPEN. Además, se consideró, la incidencia de factores políticos, económicos, socioculturales, tecnológicos, ambientales y legales, en el cumplimiento de la programación plurianual.</t>
    </r>
  </si>
  <si>
    <r>
      <t xml:space="preserve">Supuestos Técnicos utilizados para las proyecciones de ingresos y gastos: 
</t>
    </r>
    <r>
      <rPr>
        <sz val="11"/>
        <color theme="1"/>
        <rFont val="Arial"/>
        <family val="2"/>
      </rPr>
      <t>1. Lineamientos de formulación presupuestaria del Banco Central de Costa Rica.
2. Lineamientos de formulación presupuestaria del Consejo Nacional de Supervisión del Sistema Financiero.
3. Ley Reguladora del Mercado de Valores, artículo 174, inciso c).
4. Ley N° 9635, Fortalecimiento de las finanzas públicas
5. Indicadores económicos dados en el Programa Macroeconómico.</t>
    </r>
  </si>
  <si>
    <t>TRANSACCIONES FINANCIERAS</t>
  </si>
  <si>
    <t xml:space="preserve">Transferencias corrientes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</si>
</sst>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00"/>
    <numFmt numFmtId="166" formatCode="_(* #,##0_);_(* \(#,##0\);_(* &quot;-&quot;??_);_(@_)"/>
    <numFmt numFmtId="168" formatCode="_-* #,##0_-;\-* #,##0_-;_-* &quot;-&quot;??_-;_-@_-"/>
    <numFmt numFmtId="169" formatCode="_-* #,##0.00_-;\-* #,##0.00_-;_-* &quot;-&quot;_-;_-@_-"/>
  </numFmts>
  <fonts count="34" x14ac:knownFonts="1">
    <font>
      <sz val="10"/>
      <name val="Arial"/>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b/>
      <sz val="10"/>
      <name val="Arial"/>
      <family val="2"/>
    </font>
    <font>
      <sz val="10"/>
      <name val="Arial"/>
      <family val="2"/>
    </font>
    <font>
      <b/>
      <sz val="8"/>
      <name val="Tahoma"/>
      <family val="2"/>
    </font>
    <font>
      <sz val="8"/>
      <name val="Tahoma"/>
      <family val="2"/>
    </font>
    <font>
      <b/>
      <sz val="12"/>
      <name val="Arial"/>
      <family val="2"/>
    </font>
    <font>
      <b/>
      <sz val="10"/>
      <color indexed="8"/>
      <name val="Arial"/>
      <family val="2"/>
    </font>
    <font>
      <sz val="12"/>
      <name val="Arial"/>
      <family val="2"/>
    </font>
    <font>
      <b/>
      <sz val="14"/>
      <name val="Arial"/>
      <family val="2"/>
    </font>
    <font>
      <sz val="11"/>
      <name val="Arial"/>
      <family val="2"/>
    </font>
    <font>
      <sz val="9"/>
      <name val="Arial"/>
      <family val="2"/>
    </font>
    <font>
      <sz val="9"/>
      <name val="Calibri"/>
      <family val="2"/>
      <scheme val="minor"/>
    </font>
    <font>
      <b/>
      <sz val="9"/>
      <name val="Calibri"/>
      <family val="2"/>
      <scheme val="minor"/>
    </font>
    <font>
      <b/>
      <i/>
      <sz val="9"/>
      <name val="Calibri"/>
      <family val="2"/>
      <scheme val="minor"/>
    </font>
    <font>
      <b/>
      <u/>
      <sz val="10"/>
      <name val="Calibri"/>
      <family val="2"/>
      <scheme val="minor"/>
    </font>
    <font>
      <sz val="10"/>
      <name val="Arial"/>
      <family val="2"/>
    </font>
    <font>
      <b/>
      <sz val="10"/>
      <name val="Calibri"/>
      <family val="2"/>
      <scheme val="minor"/>
    </font>
    <font>
      <b/>
      <sz val="14"/>
      <name val="Calibri"/>
      <family val="2"/>
      <scheme val="minor"/>
    </font>
    <font>
      <sz val="10"/>
      <name val="Calibri"/>
      <family val="2"/>
      <scheme val="minor"/>
    </font>
    <font>
      <sz val="12"/>
      <name val="Calibri"/>
      <family val="2"/>
      <scheme val="minor"/>
    </font>
    <font>
      <b/>
      <sz val="11"/>
      <color theme="1"/>
      <name val="Arial"/>
      <family val="2"/>
    </font>
    <font>
      <b/>
      <sz val="9"/>
      <color theme="1"/>
      <name val="Arial"/>
      <family val="2"/>
    </font>
    <font>
      <b/>
      <sz val="11"/>
      <color rgb="FF0B5394"/>
      <name val="Arial"/>
      <family val="2"/>
    </font>
    <font>
      <sz val="11"/>
      <color rgb="FF000000"/>
      <name val="Arial"/>
      <family val="2"/>
    </font>
    <font>
      <b/>
      <sz val="11"/>
      <color rgb="FF000000"/>
      <name val="Arial"/>
      <family val="2"/>
    </font>
    <font>
      <i/>
      <sz val="11"/>
      <color theme="1"/>
      <name val="Arial"/>
      <family val="2"/>
    </font>
    <font>
      <b/>
      <sz val="11"/>
      <color theme="1"/>
      <name val="Calibri"/>
      <family val="2"/>
    </font>
    <font>
      <sz val="11"/>
      <color theme="1"/>
      <name val="Calibri"/>
      <family val="2"/>
    </font>
    <font>
      <sz val="11"/>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9DAF8"/>
        <bgColor rgb="FFC9DAF8"/>
      </patternFill>
    </fill>
    <fill>
      <patternFill patternType="solid">
        <fgColor rgb="FFC6D9F0"/>
        <bgColor rgb="FFC6D9F0"/>
      </patternFill>
    </fill>
    <fill>
      <patternFill patternType="solid">
        <fgColor rgb="FFF3F3F3"/>
        <bgColor rgb="FFF3F3F3"/>
      </patternFill>
    </fill>
    <fill>
      <patternFill patternType="solid">
        <fgColor theme="0"/>
        <bgColor rgb="FFDAEEF3"/>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164" fontId="3" fillId="0" borderId="0" applyFont="0" applyFill="0" applyBorder="0" applyAlignment="0" applyProtection="0"/>
    <xf numFmtId="0" fontId="3" fillId="0" borderId="0"/>
    <xf numFmtId="0" fontId="3" fillId="0" borderId="0"/>
    <xf numFmtId="0" fontId="3" fillId="0" borderId="0"/>
    <xf numFmtId="41" fontId="20" fillId="0" borderId="0" applyFont="0" applyFill="0" applyBorder="0" applyAlignment="0" applyProtection="0"/>
    <xf numFmtId="0" fontId="2" fillId="0" borderId="0"/>
    <xf numFmtId="0" fontId="1" fillId="0" borderId="0"/>
    <xf numFmtId="0" fontId="3" fillId="0" borderId="0"/>
  </cellStyleXfs>
  <cellXfs count="119">
    <xf numFmtId="0" fontId="0" fillId="0" borderId="0" xfId="0"/>
    <xf numFmtId="0" fontId="8" fillId="0" borderId="0" xfId="0" applyFont="1" applyAlignment="1">
      <alignment horizontal="left" vertical="center" wrapText="1"/>
    </xf>
    <xf numFmtId="49" fontId="9" fillId="0" borderId="0" xfId="0" applyNumberFormat="1"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Fill="1" applyBorder="1" applyAlignment="1">
      <alignment vertical="center" wrapText="1"/>
    </xf>
    <xf numFmtId="0" fontId="7" fillId="0" borderId="0" xfId="0" applyFont="1"/>
    <xf numFmtId="0" fontId="6" fillId="0" borderId="0" xfId="0" applyFont="1" applyAlignment="1">
      <alignment vertical="center"/>
    </xf>
    <xf numFmtId="0" fontId="7" fillId="0" borderId="0" xfId="0" applyFont="1" applyAlignment="1">
      <alignment vertical="center"/>
    </xf>
    <xf numFmtId="0" fontId="6" fillId="0" borderId="0" xfId="0" applyFont="1" applyFill="1" applyAlignment="1">
      <alignment vertical="center"/>
    </xf>
    <xf numFmtId="0" fontId="7" fillId="0" borderId="0" xfId="0" applyFont="1" applyBorder="1"/>
    <xf numFmtId="0" fontId="12" fillId="0" borderId="0" xfId="0" applyFont="1"/>
    <xf numFmtId="0" fontId="4" fillId="0" borderId="0" xfId="0" applyFont="1" applyAlignment="1">
      <alignment horizontal="left" vertical="center" wrapText="1"/>
    </xf>
    <xf numFmtId="4" fontId="7" fillId="0" borderId="0" xfId="0" applyNumberFormat="1" applyFont="1" applyAlignment="1">
      <alignment vertical="center"/>
    </xf>
    <xf numFmtId="4" fontId="7" fillId="0" borderId="0" xfId="0" applyNumberFormat="1" applyFont="1" applyBorder="1"/>
    <xf numFmtId="43" fontId="9" fillId="0" borderId="0" xfId="0" applyNumberFormat="1" applyFont="1" applyAlignment="1">
      <alignment vertical="center" wrapText="1"/>
    </xf>
    <xf numFmtId="164" fontId="9" fillId="0" borderId="0" xfId="0" applyNumberFormat="1" applyFont="1" applyAlignment="1">
      <alignment vertical="center" wrapText="1"/>
    </xf>
    <xf numFmtId="0" fontId="5" fillId="3" borderId="7" xfId="0" applyFont="1" applyFill="1" applyBorder="1" applyAlignment="1">
      <alignment horizontal="center" vertical="center"/>
    </xf>
    <xf numFmtId="0" fontId="5" fillId="3" borderId="8" xfId="0" applyFont="1" applyFill="1" applyBorder="1" applyAlignment="1">
      <alignment vertical="center"/>
    </xf>
    <xf numFmtId="0" fontId="4" fillId="3" borderId="8" xfId="0" applyFont="1" applyFill="1" applyBorder="1" applyAlignment="1">
      <alignment vertical="center"/>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0" fontId="5" fillId="3" borderId="0" xfId="0" applyFont="1" applyFill="1" applyBorder="1" applyAlignment="1">
      <alignment vertical="center"/>
    </xf>
    <xf numFmtId="4" fontId="5" fillId="3" borderId="0" xfId="0" applyNumberFormat="1" applyFont="1" applyFill="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165" fontId="5" fillId="0" borderId="0" xfId="0" applyNumberFormat="1" applyFont="1" applyBorder="1" applyAlignment="1">
      <alignment horizontal="center" vertical="center"/>
    </xf>
    <xf numFmtId="165" fontId="5" fillId="0" borderId="0"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justify" vertical="center"/>
    </xf>
    <xf numFmtId="0" fontId="5" fillId="0" borderId="0" xfId="0" applyFont="1" applyBorder="1" applyAlignment="1">
      <alignment horizontal="justify" vertical="center" wrapText="1"/>
    </xf>
    <xf numFmtId="3" fontId="5" fillId="0" borderId="0" xfId="0" applyNumberFormat="1" applyFont="1" applyBorder="1" applyAlignment="1">
      <alignment vertical="center"/>
    </xf>
    <xf numFmtId="3" fontId="5" fillId="3" borderId="0" xfId="0" applyNumberFormat="1" applyFont="1" applyFill="1" applyBorder="1" applyAlignment="1">
      <alignment vertical="center"/>
    </xf>
    <xf numFmtId="3" fontId="4" fillId="3" borderId="0" xfId="0" applyNumberFormat="1" applyFont="1" applyFill="1" applyBorder="1" applyAlignment="1">
      <alignment vertical="center"/>
    </xf>
    <xf numFmtId="3" fontId="5" fillId="0" borderId="0" xfId="1" applyNumberFormat="1" applyFont="1" applyBorder="1" applyAlignment="1">
      <alignment vertical="center"/>
    </xf>
    <xf numFmtId="3" fontId="5" fillId="3" borderId="8" xfId="0" applyNumberFormat="1" applyFont="1" applyFill="1" applyBorder="1" applyAlignment="1">
      <alignment vertical="center"/>
    </xf>
    <xf numFmtId="3" fontId="4" fillId="3" borderId="2" xfId="0" applyNumberFormat="1" applyFont="1" applyFill="1" applyBorder="1" applyAlignment="1">
      <alignment vertical="center"/>
    </xf>
    <xf numFmtId="168" fontId="9" fillId="0" borderId="0" xfId="0" applyNumberFormat="1" applyFont="1" applyAlignment="1">
      <alignment vertical="center" wrapText="1"/>
    </xf>
    <xf numFmtId="3" fontId="9" fillId="0" borderId="0" xfId="0" applyNumberFormat="1" applyFont="1" applyAlignment="1">
      <alignment horizontal="left" vertical="center" wrapText="1"/>
    </xf>
    <xf numFmtId="49" fontId="16" fillId="5" borderId="1" xfId="0" applyNumberFormat="1" applyFont="1" applyFill="1" applyBorder="1" applyAlignment="1">
      <alignment vertical="center" wrapText="1"/>
    </xf>
    <xf numFmtId="49" fontId="17"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49" fontId="16" fillId="0" borderId="1" xfId="0" applyNumberFormat="1" applyFont="1" applyFill="1" applyBorder="1" applyAlignment="1">
      <alignment vertical="center" wrapText="1"/>
    </xf>
    <xf numFmtId="0" fontId="16" fillId="0" borderId="1" xfId="0" applyFont="1" applyBorder="1" applyAlignment="1">
      <alignment vertical="center" wrapText="1"/>
    </xf>
    <xf numFmtId="0" fontId="16" fillId="0" borderId="1" xfId="2" applyFont="1" applyFill="1" applyBorder="1" applyAlignment="1">
      <alignment horizontal="center" vertical="center" wrapText="1"/>
    </xf>
    <xf numFmtId="166" fontId="16" fillId="0" borderId="1" xfId="1" applyNumberFormat="1"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vertical="top" wrapText="1"/>
    </xf>
    <xf numFmtId="164" fontId="16" fillId="0" borderId="1" xfId="1" applyFont="1" applyBorder="1" applyAlignment="1">
      <alignment vertical="top" wrapText="1"/>
    </xf>
    <xf numFmtId="166" fontId="16" fillId="0" borderId="0" xfId="0" applyNumberFormat="1" applyFont="1" applyAlignment="1">
      <alignment vertical="center" wrapText="1"/>
    </xf>
    <xf numFmtId="0" fontId="18" fillId="0" borderId="0" xfId="0" applyFont="1" applyFill="1" applyBorder="1" applyAlignment="1">
      <alignment horizontal="center" vertical="top"/>
    </xf>
    <xf numFmtId="0" fontId="16" fillId="0" borderId="0" xfId="0" applyFont="1" applyFill="1" applyBorder="1" applyAlignment="1">
      <alignment vertical="top" wrapText="1"/>
    </xf>
    <xf numFmtId="0" fontId="17" fillId="0" borderId="0" xfId="0" applyFont="1" applyFill="1" applyBorder="1" applyAlignment="1">
      <alignment horizontal="left" vertical="center" wrapText="1"/>
    </xf>
    <xf numFmtId="166" fontId="17" fillId="0" borderId="0" xfId="0" applyNumberFormat="1" applyFont="1" applyFill="1" applyBorder="1" applyAlignment="1">
      <alignment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166" fontId="17" fillId="3" borderId="1" xfId="0" applyNumberFormat="1" applyFont="1" applyFill="1" applyBorder="1" applyAlignment="1">
      <alignment horizontal="left" vertical="center" wrapText="1"/>
    </xf>
    <xf numFmtId="0" fontId="16" fillId="3" borderId="1" xfId="0" applyFont="1" applyFill="1" applyBorder="1" applyAlignment="1">
      <alignment vertical="top"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3" fontId="5" fillId="0" borderId="0" xfId="0" applyNumberFormat="1" applyFont="1" applyFill="1" applyBorder="1" applyAlignment="1">
      <alignment vertical="center"/>
    </xf>
    <xf numFmtId="3" fontId="5" fillId="0" borderId="0" xfId="5" applyNumberFormat="1" applyFont="1" applyBorder="1" applyAlignment="1">
      <alignment vertical="center"/>
    </xf>
    <xf numFmtId="41" fontId="7" fillId="0" borderId="0" xfId="5" applyFont="1"/>
    <xf numFmtId="41" fontId="7" fillId="0" borderId="0" xfId="0" applyNumberFormat="1" applyFont="1"/>
    <xf numFmtId="0" fontId="23" fillId="0" borderId="0" xfId="8" applyFont="1"/>
    <xf numFmtId="0" fontId="25" fillId="0" borderId="0" xfId="0" applyFont="1" applyAlignment="1">
      <alignment horizontal="center" vertical="center" wrapText="1"/>
    </xf>
    <xf numFmtId="0" fontId="25" fillId="7" borderId="14" xfId="0" applyFont="1" applyFill="1" applyBorder="1" applyAlignment="1">
      <alignment horizontal="center" vertical="center" wrapText="1"/>
    </xf>
    <xf numFmtId="0" fontId="27" fillId="0" borderId="14" xfId="0" applyFont="1" applyBorder="1" applyAlignment="1">
      <alignment vertical="center"/>
    </xf>
    <xf numFmtId="169" fontId="0" fillId="0" borderId="14" xfId="5" applyNumberFormat="1" applyFont="1" applyBorder="1" applyAlignment="1">
      <alignment vertical="center"/>
    </xf>
    <xf numFmtId="0" fontId="0" fillId="0" borderId="14" xfId="0" applyBorder="1" applyAlignment="1">
      <alignment vertical="center"/>
    </xf>
    <xf numFmtId="0" fontId="25" fillId="0" borderId="14" xfId="0" applyFont="1" applyBorder="1" applyAlignment="1">
      <alignment vertical="center"/>
    </xf>
    <xf numFmtId="0" fontId="28" fillId="0" borderId="14" xfId="0" applyFont="1" applyBorder="1" applyAlignment="1">
      <alignment vertical="center" wrapText="1"/>
    </xf>
    <xf numFmtId="0" fontId="25" fillId="8" borderId="14" xfId="0" applyFont="1" applyFill="1" applyBorder="1"/>
    <xf numFmtId="169" fontId="25" fillId="8" borderId="14" xfId="5" applyNumberFormat="1" applyFont="1" applyFill="1" applyBorder="1" applyAlignment="1">
      <alignment horizontal="center"/>
    </xf>
    <xf numFmtId="0" fontId="29" fillId="7" borderId="14" xfId="0" applyFont="1" applyFill="1" applyBorder="1" applyAlignment="1">
      <alignment horizontal="center" vertical="center" wrapText="1"/>
    </xf>
    <xf numFmtId="169" fontId="0" fillId="0" borderId="14" xfId="5" applyNumberFormat="1" applyFont="1" applyBorder="1"/>
    <xf numFmtId="0" fontId="0" fillId="0" borderId="14" xfId="0" applyBorder="1"/>
    <xf numFmtId="0" fontId="25" fillId="0" borderId="14" xfId="0" applyFont="1" applyBorder="1"/>
    <xf numFmtId="0" fontId="28" fillId="0" borderId="14" xfId="0" applyFont="1" applyBorder="1" applyAlignment="1">
      <alignment wrapText="1"/>
    </xf>
    <xf numFmtId="0" fontId="30" fillId="0" borderId="14" xfId="0" applyFont="1" applyBorder="1"/>
    <xf numFmtId="169" fontId="0" fillId="0" borderId="0" xfId="5" applyNumberFormat="1" applyFont="1"/>
    <xf numFmtId="0" fontId="27" fillId="0" borderId="14" xfId="0" applyFont="1" applyBorder="1" applyAlignment="1">
      <alignment vertical="center" wrapText="1"/>
    </xf>
    <xf numFmtId="0" fontId="25" fillId="9" borderId="14" xfId="0" applyFont="1" applyFill="1" applyBorder="1" applyAlignment="1">
      <alignment vertical="top"/>
    </xf>
    <xf numFmtId="169" fontId="31" fillId="9" borderId="14" xfId="5" applyNumberFormat="1" applyFont="1" applyFill="1" applyBorder="1" applyAlignment="1">
      <alignment vertical="top"/>
    </xf>
    <xf numFmtId="0" fontId="32" fillId="9" borderId="14" xfId="0" applyFont="1" applyFill="1" applyBorder="1" applyAlignment="1">
      <alignment vertical="top"/>
    </xf>
    <xf numFmtId="0" fontId="26" fillId="10" borderId="14" xfId="0" applyFont="1" applyFill="1" applyBorder="1" applyAlignment="1">
      <alignment horizontal="center" vertical="center" wrapText="1"/>
    </xf>
    <xf numFmtId="0" fontId="0" fillId="0" borderId="0" xfId="0" applyAlignment="1">
      <alignment wrapText="1"/>
    </xf>
    <xf numFmtId="0" fontId="33" fillId="0" borderId="0" xfId="0" applyFont="1" applyAlignment="1">
      <alignment wrapText="1"/>
    </xf>
    <xf numFmtId="0" fontId="25" fillId="8" borderId="14" xfId="0" applyFont="1" applyFill="1" applyBorder="1" applyAlignment="1">
      <alignment vertical="center"/>
    </xf>
    <xf numFmtId="169" fontId="25" fillId="8" borderId="14" xfId="5" applyNumberFormat="1" applyFont="1" applyFill="1" applyBorder="1" applyAlignment="1">
      <alignment vertical="center"/>
    </xf>
    <xf numFmtId="0" fontId="13" fillId="0" borderId="0" xfId="0" applyFont="1" applyAlignment="1">
      <alignment horizontal="left"/>
    </xf>
    <xf numFmtId="0" fontId="10" fillId="0" borderId="0" xfId="0" applyFont="1" applyAlignment="1">
      <alignment horizontal="left"/>
    </xf>
    <xf numFmtId="0" fontId="15" fillId="0" borderId="0" xfId="0" applyFont="1" applyAlignment="1">
      <alignment horizontal="left"/>
    </xf>
    <xf numFmtId="0" fontId="22" fillId="0" borderId="0" xfId="8" applyFont="1" applyAlignment="1">
      <alignment horizontal="left"/>
    </xf>
    <xf numFmtId="0" fontId="4" fillId="0" borderId="0" xfId="0" applyFont="1" applyBorder="1" applyAlignment="1">
      <alignment horizontal="lef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0" borderId="0" xfId="0" applyFont="1" applyAlignment="1">
      <alignment horizontal="right"/>
    </xf>
    <xf numFmtId="0" fontId="18" fillId="3" borderId="1" xfId="0" applyFont="1" applyFill="1" applyBorder="1" applyAlignment="1">
      <alignment horizontal="center" vertical="top"/>
    </xf>
    <xf numFmtId="0" fontId="13" fillId="2" borderId="0" xfId="0" applyFont="1" applyFill="1" applyAlignment="1">
      <alignment horizontal="left"/>
    </xf>
    <xf numFmtId="0" fontId="10" fillId="0" borderId="0" xfId="0" applyFont="1" applyAlignment="1">
      <alignment horizontal="left" vertical="center" wrapText="1"/>
    </xf>
    <xf numFmtId="0" fontId="10" fillId="0" borderId="0" xfId="0" applyFont="1" applyAlignment="1">
      <alignment horizontal="left" vertical="center"/>
    </xf>
    <xf numFmtId="0" fontId="19" fillId="5" borderId="1"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4" fillId="0" borderId="0" xfId="8" applyFont="1" applyAlignment="1">
      <alignment horizontal="left"/>
    </xf>
    <xf numFmtId="0" fontId="25" fillId="9" borderId="11" xfId="0" applyFont="1" applyFill="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cellXfs>
  <cellStyles count="9">
    <cellStyle name="Millares" xfId="1" builtinId="3"/>
    <cellStyle name="Millares [0]" xfId="5" builtinId="6"/>
    <cellStyle name="Normal" xfId="0" builtinId="0"/>
    <cellStyle name="Normal 2" xfId="2" xr:uid="{00000000-0005-0000-0000-000004000000}"/>
    <cellStyle name="Normal 2 3" xfId="3" xr:uid="{00000000-0005-0000-0000-000005000000}"/>
    <cellStyle name="Normal 2 33" xfId="8" xr:uid="{43E7DE29-23D5-4436-8973-2B92446D5B94}"/>
    <cellStyle name="Normal 2 8 3 4 2 3 2 2" xfId="6" xr:uid="{B5C43909-1C70-4D0E-B164-45A7021B4CCC}"/>
    <cellStyle name="Normal 2 8 3 4 2 3 2 2 4" xfId="7" xr:uid="{98FAFA9B-21E7-443C-A9B6-28DBCC979EF9}"/>
    <cellStyle name="Normal 3" xfId="4"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2:J232"/>
  <sheetViews>
    <sheetView showGridLines="0" tabSelected="1" zoomScale="110" zoomScaleNormal="110" workbookViewId="0">
      <selection activeCell="A2" sqref="D2:E2"/>
    </sheetView>
  </sheetViews>
  <sheetFormatPr baseColWidth="10" defaultColWidth="11.42578125" defaultRowHeight="12.75" x14ac:dyDescent="0.2"/>
  <cols>
    <col min="1" max="1" width="4.140625" style="8" customWidth="1"/>
    <col min="2" max="2" width="5.7109375" style="8" customWidth="1"/>
    <col min="3" max="3" width="6.7109375" style="8" customWidth="1"/>
    <col min="4" max="4" width="3.42578125" style="8" customWidth="1"/>
    <col min="5" max="5" width="46.42578125" style="8" customWidth="1"/>
    <col min="6" max="9" width="15.140625" style="8" customWidth="1"/>
    <col min="10" max="10" width="21.140625" style="8" customWidth="1"/>
    <col min="11" max="12" width="11.42578125" style="8" customWidth="1"/>
    <col min="13" max="13" width="14.5703125" style="8" bestFit="1" customWidth="1"/>
    <col min="14" max="16384" width="11.42578125" style="8"/>
  </cols>
  <sheetData>
    <row r="2" spans="1:10" s="13" customFormat="1" ht="15.75" customHeight="1" x14ac:dyDescent="0.25">
      <c r="A2" s="96"/>
      <c r="B2" s="96"/>
      <c r="C2" s="96"/>
      <c r="D2" s="96"/>
      <c r="E2" s="96"/>
      <c r="F2" s="96"/>
      <c r="G2" s="96"/>
      <c r="H2" s="96"/>
      <c r="I2" s="96"/>
    </row>
    <row r="3" spans="1:10" s="13" customFormat="1" ht="15.75" customHeight="1" x14ac:dyDescent="0.25">
      <c r="A3" s="97" t="s">
        <v>274</v>
      </c>
      <c r="B3" s="97"/>
      <c r="C3" s="97"/>
      <c r="D3" s="97"/>
      <c r="E3" s="97"/>
      <c r="F3" s="97"/>
      <c r="G3" s="97"/>
      <c r="H3" s="97"/>
      <c r="I3" s="97"/>
    </row>
    <row r="4" spans="1:10" s="13" customFormat="1" ht="15.75" customHeight="1" x14ac:dyDescent="0.2">
      <c r="A4" s="98"/>
      <c r="B4" s="98"/>
      <c r="C4" s="98"/>
      <c r="D4" s="98"/>
      <c r="E4" s="98"/>
      <c r="F4" s="98"/>
      <c r="G4" s="98"/>
      <c r="H4" s="98"/>
      <c r="I4" s="98"/>
    </row>
    <row r="5" spans="1:10" ht="7.5" customHeight="1" thickBot="1" x14ac:dyDescent="0.25"/>
    <row r="6" spans="1:10" s="9" customFormat="1" ht="26.25" customHeight="1" thickBot="1" x14ac:dyDescent="0.25">
      <c r="A6" s="101" t="s">
        <v>103</v>
      </c>
      <c r="B6" s="102"/>
      <c r="C6" s="102"/>
      <c r="D6" s="102"/>
      <c r="E6" s="64" t="s">
        <v>104</v>
      </c>
      <c r="F6" s="64"/>
      <c r="G6" s="64" t="s">
        <v>253</v>
      </c>
      <c r="H6" s="64" t="s">
        <v>105</v>
      </c>
      <c r="I6" s="65" t="s">
        <v>106</v>
      </c>
    </row>
    <row r="7" spans="1:10" s="11" customFormat="1" ht="15.75" customHeight="1" x14ac:dyDescent="0.2">
      <c r="A7" s="22">
        <v>0</v>
      </c>
      <c r="B7" s="23" t="s">
        <v>129</v>
      </c>
      <c r="C7" s="23"/>
      <c r="D7" s="23"/>
      <c r="E7" s="24"/>
      <c r="F7" s="25"/>
      <c r="G7" s="24"/>
      <c r="H7" s="24"/>
      <c r="I7" s="37">
        <f>+H9+H14+H21+H32+H40+H47</f>
        <v>3216307500.04</v>
      </c>
      <c r="J7" s="15"/>
    </row>
    <row r="8" spans="1:10" s="10" customFormat="1" ht="11.25" customHeight="1" x14ac:dyDescent="0.2">
      <c r="A8" s="26"/>
      <c r="B8" s="27"/>
      <c r="C8" s="27"/>
      <c r="D8" s="27"/>
      <c r="E8" s="27"/>
      <c r="F8" s="35"/>
      <c r="G8" s="35"/>
      <c r="H8" s="35"/>
      <c r="I8" s="35"/>
    </row>
    <row r="9" spans="1:10" s="10" customFormat="1" ht="11.25" customHeight="1" x14ac:dyDescent="0.2">
      <c r="A9" s="26"/>
      <c r="B9" s="28">
        <v>0.01</v>
      </c>
      <c r="C9" s="29" t="s">
        <v>130</v>
      </c>
      <c r="D9" s="29"/>
      <c r="E9" s="27"/>
      <c r="F9" s="35"/>
      <c r="G9" s="35"/>
      <c r="H9" s="35">
        <f>+G11</f>
        <v>2044533348.24</v>
      </c>
      <c r="I9" s="35"/>
      <c r="J9" s="8"/>
    </row>
    <row r="10" spans="1:10" ht="11.25" customHeight="1" x14ac:dyDescent="0.2">
      <c r="A10" s="26"/>
      <c r="B10" s="27"/>
      <c r="C10" s="27"/>
      <c r="D10" s="27"/>
      <c r="E10" s="27"/>
      <c r="F10" s="35"/>
      <c r="G10" s="35"/>
      <c r="H10" s="35"/>
      <c r="I10" s="35"/>
    </row>
    <row r="11" spans="1:10" ht="11.25" customHeight="1" x14ac:dyDescent="0.2">
      <c r="A11" s="26"/>
      <c r="B11" s="27"/>
      <c r="C11" s="29" t="s">
        <v>131</v>
      </c>
      <c r="D11" s="29"/>
      <c r="E11" s="27" t="s">
        <v>132</v>
      </c>
      <c r="F11" s="35"/>
      <c r="G11" s="35">
        <f>+F12</f>
        <v>2044533348.24</v>
      </c>
      <c r="H11" s="35"/>
      <c r="I11" s="35"/>
      <c r="J11" s="12"/>
    </row>
    <row r="12" spans="1:10" s="12" customFormat="1" ht="11.25" customHeight="1" x14ac:dyDescent="0.2">
      <c r="A12" s="26"/>
      <c r="B12" s="27"/>
      <c r="C12" s="27" t="s">
        <v>131</v>
      </c>
      <c r="D12" s="30">
        <v>1</v>
      </c>
      <c r="E12" s="27" t="s">
        <v>132</v>
      </c>
      <c r="F12" s="35">
        <f>2044533348.24</f>
        <v>2044533348.24</v>
      </c>
      <c r="G12" s="35"/>
      <c r="H12" s="35"/>
      <c r="I12" s="35"/>
    </row>
    <row r="13" spans="1:10" s="12" customFormat="1" ht="11.25" customHeight="1" x14ac:dyDescent="0.2">
      <c r="A13" s="26"/>
      <c r="B13" s="27"/>
      <c r="C13" s="27"/>
      <c r="D13" s="27"/>
      <c r="E13" s="27"/>
      <c r="F13" s="35"/>
      <c r="G13" s="35"/>
      <c r="H13" s="35"/>
      <c r="I13" s="35"/>
    </row>
    <row r="14" spans="1:10" s="12" customFormat="1" ht="11.25" customHeight="1" x14ac:dyDescent="0.2">
      <c r="A14" s="26"/>
      <c r="B14" s="28">
        <v>0.02</v>
      </c>
      <c r="C14" s="29" t="s">
        <v>133</v>
      </c>
      <c r="D14" s="29"/>
      <c r="E14" s="27"/>
      <c r="F14" s="35"/>
      <c r="G14" s="35"/>
      <c r="H14" s="35">
        <f>+G16+G18</f>
        <v>14800000</v>
      </c>
      <c r="I14" s="35"/>
    </row>
    <row r="15" spans="1:10" s="12" customFormat="1" ht="11.25" customHeight="1" x14ac:dyDescent="0.2">
      <c r="A15" s="26"/>
      <c r="B15" s="27"/>
      <c r="C15" s="27"/>
      <c r="D15" s="27"/>
      <c r="E15" s="27"/>
      <c r="F15" s="35"/>
      <c r="G15" s="35"/>
      <c r="H15" s="35"/>
      <c r="I15" s="35"/>
    </row>
    <row r="16" spans="1:10" s="12" customFormat="1" ht="11.25" customHeight="1" x14ac:dyDescent="0.2">
      <c r="A16" s="26"/>
      <c r="B16" s="27"/>
      <c r="C16" s="29" t="s">
        <v>134</v>
      </c>
      <c r="D16" s="29"/>
      <c r="E16" s="27" t="s">
        <v>135</v>
      </c>
      <c r="F16" s="35"/>
      <c r="G16" s="35">
        <f>+F17</f>
        <v>1800000</v>
      </c>
      <c r="H16" s="35"/>
      <c r="I16" s="35"/>
    </row>
    <row r="17" spans="1:9" s="12" customFormat="1" ht="11.25" customHeight="1" x14ac:dyDescent="0.2">
      <c r="A17" s="26"/>
      <c r="B17" s="27"/>
      <c r="C17" s="27" t="s">
        <v>134</v>
      </c>
      <c r="D17" s="30">
        <v>1</v>
      </c>
      <c r="E17" s="27" t="s">
        <v>108</v>
      </c>
      <c r="F17" s="35">
        <f>1800000</f>
        <v>1800000</v>
      </c>
      <c r="G17" s="35"/>
      <c r="H17" s="35"/>
      <c r="I17" s="35"/>
    </row>
    <row r="18" spans="1:9" s="12" customFormat="1" ht="11.25" customHeight="1" x14ac:dyDescent="0.2">
      <c r="A18" s="26"/>
      <c r="B18" s="27"/>
      <c r="C18" s="29" t="s">
        <v>136</v>
      </c>
      <c r="D18" s="30"/>
      <c r="E18" s="27" t="s">
        <v>137</v>
      </c>
      <c r="F18" s="35"/>
      <c r="G18" s="67">
        <f>+F19</f>
        <v>13000000</v>
      </c>
      <c r="H18" s="35"/>
      <c r="I18" s="35"/>
    </row>
    <row r="19" spans="1:9" s="12" customFormat="1" ht="11.25" customHeight="1" x14ac:dyDescent="0.2">
      <c r="A19" s="26"/>
      <c r="B19" s="27"/>
      <c r="C19" s="27" t="s">
        <v>136</v>
      </c>
      <c r="D19" s="30">
        <v>1</v>
      </c>
      <c r="E19" s="27" t="s">
        <v>138</v>
      </c>
      <c r="F19" s="67">
        <f>13000000</f>
        <v>13000000</v>
      </c>
      <c r="G19" s="35"/>
      <c r="H19" s="35"/>
      <c r="I19" s="35"/>
    </row>
    <row r="20" spans="1:9" s="12" customFormat="1" ht="11.25" customHeight="1" x14ac:dyDescent="0.2">
      <c r="A20" s="26"/>
      <c r="B20" s="27"/>
      <c r="C20" s="27"/>
      <c r="D20" s="30"/>
      <c r="E20" s="27"/>
      <c r="F20" s="35"/>
      <c r="G20" s="35"/>
      <c r="H20" s="35"/>
      <c r="I20" s="35"/>
    </row>
    <row r="21" spans="1:9" s="12" customFormat="1" ht="11.25" customHeight="1" x14ac:dyDescent="0.2">
      <c r="A21" s="26"/>
      <c r="B21" s="28">
        <v>0.03</v>
      </c>
      <c r="C21" s="29" t="s">
        <v>139</v>
      </c>
      <c r="D21" s="30"/>
      <c r="E21" s="27"/>
      <c r="F21" s="35"/>
      <c r="G21" s="35"/>
      <c r="H21" s="35">
        <f>+G23+G24+G27+G29+G30</f>
        <v>426575781.95999998</v>
      </c>
      <c r="I21" s="35"/>
    </row>
    <row r="22" spans="1:9" s="12" customFormat="1" ht="11.25" customHeight="1" x14ac:dyDescent="0.2">
      <c r="A22" s="26"/>
      <c r="B22" s="27"/>
      <c r="C22" s="27"/>
      <c r="D22" s="30"/>
      <c r="E22" s="27"/>
      <c r="F22" s="35"/>
      <c r="G22" s="35"/>
      <c r="H22" s="35"/>
      <c r="I22" s="35"/>
    </row>
    <row r="23" spans="1:9" s="12" customFormat="1" ht="11.25" customHeight="1" x14ac:dyDescent="0.2">
      <c r="A23" s="26"/>
      <c r="B23" s="27"/>
      <c r="C23" s="29" t="s">
        <v>140</v>
      </c>
      <c r="D23" s="30"/>
      <c r="E23" s="27" t="s">
        <v>141</v>
      </c>
      <c r="F23" s="35"/>
      <c r="G23" s="35">
        <f>111000663.72</f>
        <v>111000663.72</v>
      </c>
      <c r="H23" s="35"/>
      <c r="I23" s="35"/>
    </row>
    <row r="24" spans="1:9" s="12" customFormat="1" ht="11.25" customHeight="1" x14ac:dyDescent="0.2">
      <c r="A24" s="26"/>
      <c r="B24" s="27"/>
      <c r="C24" s="29" t="s">
        <v>142</v>
      </c>
      <c r="D24" s="31"/>
      <c r="E24" s="27" t="s">
        <v>143</v>
      </c>
      <c r="F24" s="35"/>
      <c r="G24" s="35">
        <f>+F25</f>
        <v>57961649.159999996</v>
      </c>
      <c r="H24" s="35"/>
      <c r="I24" s="35"/>
    </row>
    <row r="25" spans="1:9" s="12" customFormat="1" ht="11.25" customHeight="1" x14ac:dyDescent="0.2">
      <c r="A25" s="26"/>
      <c r="B25" s="27"/>
      <c r="C25" s="27" t="s">
        <v>142</v>
      </c>
      <c r="D25" s="30">
        <v>1</v>
      </c>
      <c r="E25" s="27" t="s">
        <v>125</v>
      </c>
      <c r="F25" s="35">
        <f>57961649.16</f>
        <v>57961649.159999996</v>
      </c>
      <c r="G25" s="35"/>
      <c r="H25" s="35"/>
      <c r="I25" s="35"/>
    </row>
    <row r="26" spans="1:9" s="12" customFormat="1" ht="11.25" customHeight="1" x14ac:dyDescent="0.2">
      <c r="A26" s="26"/>
      <c r="B26" s="27"/>
      <c r="C26" s="27" t="s">
        <v>142</v>
      </c>
      <c r="D26" s="30">
        <v>2</v>
      </c>
      <c r="E26" s="27" t="s">
        <v>144</v>
      </c>
      <c r="F26" s="35"/>
      <c r="G26" s="35"/>
      <c r="H26" s="35"/>
      <c r="I26" s="35"/>
    </row>
    <row r="27" spans="1:9" s="12" customFormat="1" ht="11.25" customHeight="1" x14ac:dyDescent="0.2">
      <c r="A27" s="26"/>
      <c r="B27" s="27"/>
      <c r="C27" s="29" t="s">
        <v>145</v>
      </c>
      <c r="D27" s="31"/>
      <c r="E27" s="27" t="s">
        <v>146</v>
      </c>
      <c r="F27" s="35"/>
      <c r="G27" s="35">
        <f>+F28</f>
        <v>191223708.47999999</v>
      </c>
      <c r="H27" s="35"/>
      <c r="I27" s="35"/>
    </row>
    <row r="28" spans="1:9" s="12" customFormat="1" ht="11.25" customHeight="1" x14ac:dyDescent="0.2">
      <c r="A28" s="26"/>
      <c r="B28" s="27"/>
      <c r="C28" s="27" t="s">
        <v>145</v>
      </c>
      <c r="D28" s="30">
        <v>1</v>
      </c>
      <c r="E28" s="27" t="s">
        <v>146</v>
      </c>
      <c r="F28" s="35">
        <f>191223708.48</f>
        <v>191223708.47999999</v>
      </c>
      <c r="G28" s="35"/>
      <c r="H28" s="35"/>
      <c r="I28" s="35"/>
    </row>
    <row r="29" spans="1:9" s="12" customFormat="1" ht="11.25" customHeight="1" x14ac:dyDescent="0.2">
      <c r="A29" s="26"/>
      <c r="B29" s="27"/>
      <c r="C29" s="29" t="s">
        <v>60</v>
      </c>
      <c r="D29" s="31"/>
      <c r="E29" s="27" t="s">
        <v>107</v>
      </c>
      <c r="F29" s="35"/>
      <c r="G29" s="35">
        <f>25667302.2</f>
        <v>25667302.199999999</v>
      </c>
      <c r="H29" s="35"/>
      <c r="I29" s="35"/>
    </row>
    <row r="30" spans="1:9" s="12" customFormat="1" ht="11.25" customHeight="1" x14ac:dyDescent="0.2">
      <c r="A30" s="32"/>
      <c r="B30" s="27"/>
      <c r="C30" s="29" t="s">
        <v>58</v>
      </c>
      <c r="D30" s="31"/>
      <c r="E30" s="27" t="s">
        <v>59</v>
      </c>
      <c r="F30" s="35"/>
      <c r="G30" s="35">
        <f>40722458.4</f>
        <v>40722458.399999999</v>
      </c>
      <c r="H30" s="35"/>
      <c r="I30" s="35"/>
    </row>
    <row r="31" spans="1:9" s="12" customFormat="1" ht="11.25" customHeight="1" x14ac:dyDescent="0.2">
      <c r="A31" s="32"/>
      <c r="B31" s="27"/>
      <c r="C31" s="27"/>
      <c r="D31" s="30"/>
      <c r="E31" s="27"/>
      <c r="F31" s="35"/>
      <c r="G31" s="35"/>
      <c r="H31" s="35"/>
      <c r="I31" s="35"/>
    </row>
    <row r="32" spans="1:9" s="12" customFormat="1" ht="11.25" customHeight="1" x14ac:dyDescent="0.2">
      <c r="A32" s="26"/>
      <c r="B32" s="28">
        <v>0.04</v>
      </c>
      <c r="C32" s="29" t="s">
        <v>147</v>
      </c>
      <c r="D32" s="29"/>
      <c r="E32" s="27"/>
      <c r="F32" s="35"/>
      <c r="G32" s="35"/>
      <c r="H32" s="35">
        <f>SUM(G34:G38)</f>
        <v>384359808.12</v>
      </c>
      <c r="I32" s="35"/>
    </row>
    <row r="33" spans="1:9" s="12" customFormat="1" ht="11.25" customHeight="1" x14ac:dyDescent="0.2">
      <c r="A33" s="26"/>
      <c r="B33" s="27"/>
      <c r="C33" s="27"/>
      <c r="D33" s="27"/>
      <c r="E33" s="27"/>
      <c r="F33" s="35"/>
      <c r="G33" s="35"/>
      <c r="H33" s="35"/>
      <c r="I33" s="35"/>
    </row>
    <row r="34" spans="1:9" s="12" customFormat="1" ht="11.25" customHeight="1" x14ac:dyDescent="0.2">
      <c r="A34" s="26"/>
      <c r="B34" s="27"/>
      <c r="C34" s="29" t="s">
        <v>148</v>
      </c>
      <c r="D34" s="29"/>
      <c r="E34" s="27" t="s">
        <v>257</v>
      </c>
      <c r="F34" s="35"/>
      <c r="G34" s="35">
        <f>212258401.56</f>
        <v>212258401.56</v>
      </c>
      <c r="H34" s="35"/>
      <c r="I34" s="35"/>
    </row>
    <row r="35" spans="1:9" s="12" customFormat="1" ht="11.25" customHeight="1" x14ac:dyDescent="0.2">
      <c r="A35" s="26"/>
      <c r="B35" s="27"/>
      <c r="C35" s="29" t="s">
        <v>149</v>
      </c>
      <c r="D35" s="29"/>
      <c r="E35" s="27" t="s">
        <v>150</v>
      </c>
      <c r="F35" s="35"/>
      <c r="G35" s="35">
        <f>11473427.04</f>
        <v>11473427.039999999</v>
      </c>
      <c r="H35" s="35"/>
      <c r="I35" s="35"/>
    </row>
    <row r="36" spans="1:9" s="12" customFormat="1" ht="11.25" customHeight="1" x14ac:dyDescent="0.2">
      <c r="A36" s="26"/>
      <c r="B36" s="27"/>
      <c r="C36" s="29" t="s">
        <v>151</v>
      </c>
      <c r="D36" s="29"/>
      <c r="E36" s="27" t="s">
        <v>152</v>
      </c>
      <c r="F36" s="35"/>
      <c r="G36" s="35">
        <f>34420281.36</f>
        <v>34420281.359999999</v>
      </c>
      <c r="H36" s="35"/>
      <c r="I36" s="35"/>
    </row>
    <row r="37" spans="1:9" s="12" customFormat="1" ht="11.25" customHeight="1" x14ac:dyDescent="0.2">
      <c r="A37" s="26"/>
      <c r="B37" s="27"/>
      <c r="C37" s="29" t="s">
        <v>153</v>
      </c>
      <c r="D37" s="29"/>
      <c r="E37" s="27" t="s">
        <v>154</v>
      </c>
      <c r="F37" s="35"/>
      <c r="G37" s="35">
        <f>114734271.12</f>
        <v>114734271.12</v>
      </c>
      <c r="H37" s="35"/>
      <c r="I37" s="35"/>
    </row>
    <row r="38" spans="1:9" s="12" customFormat="1" ht="11.25" customHeight="1" x14ac:dyDescent="0.2">
      <c r="A38" s="26"/>
      <c r="B38" s="27"/>
      <c r="C38" s="29" t="s">
        <v>155</v>
      </c>
      <c r="D38" s="29"/>
      <c r="E38" s="27" t="s">
        <v>156</v>
      </c>
      <c r="F38" s="35"/>
      <c r="G38" s="35">
        <f>11473427.04</f>
        <v>11473427.039999999</v>
      </c>
      <c r="H38" s="35"/>
      <c r="I38" s="35"/>
    </row>
    <row r="39" spans="1:9" s="12" customFormat="1" ht="11.25" customHeight="1" x14ac:dyDescent="0.2">
      <c r="A39" s="26"/>
      <c r="B39" s="27"/>
      <c r="C39" s="27"/>
      <c r="D39" s="27"/>
      <c r="E39" s="27"/>
      <c r="F39" s="35"/>
      <c r="G39" s="35"/>
      <c r="H39" s="35"/>
      <c r="I39" s="35"/>
    </row>
    <row r="40" spans="1:9" s="12" customFormat="1" ht="11.25" customHeight="1" x14ac:dyDescent="0.2">
      <c r="A40" s="26"/>
      <c r="B40" s="33">
        <v>0.05</v>
      </c>
      <c r="C40" s="100" t="s">
        <v>157</v>
      </c>
      <c r="D40" s="100"/>
      <c r="E40" s="100"/>
      <c r="F40" s="35"/>
      <c r="G40" s="35"/>
      <c r="H40" s="35">
        <f>SUM(G42:G45)</f>
        <v>346038561.72000003</v>
      </c>
      <c r="I40" s="35"/>
    </row>
    <row r="41" spans="1:9" s="12" customFormat="1" ht="11.25" customHeight="1" x14ac:dyDescent="0.2">
      <c r="A41" s="26"/>
      <c r="B41" s="27"/>
      <c r="C41" s="27"/>
      <c r="D41" s="27"/>
      <c r="E41" s="27"/>
      <c r="F41" s="35"/>
      <c r="G41" s="35"/>
      <c r="H41" s="35"/>
      <c r="I41" s="35"/>
    </row>
    <row r="42" spans="1:9" s="12" customFormat="1" ht="11.25" customHeight="1" x14ac:dyDescent="0.2">
      <c r="A42" s="26"/>
      <c r="B42" s="27"/>
      <c r="C42" s="29" t="s">
        <v>158</v>
      </c>
      <c r="D42" s="29"/>
      <c r="E42" s="27" t="s">
        <v>258</v>
      </c>
      <c r="F42" s="35"/>
      <c r="G42" s="35">
        <f>120470984.64</f>
        <v>120470984.64</v>
      </c>
      <c r="H42" s="35"/>
      <c r="I42" s="35"/>
    </row>
    <row r="43" spans="1:9" s="12" customFormat="1" ht="11.25" customHeight="1" x14ac:dyDescent="0.2">
      <c r="A43" s="26"/>
      <c r="B43" s="27"/>
      <c r="C43" s="29" t="s">
        <v>159</v>
      </c>
      <c r="D43" s="29"/>
      <c r="E43" s="27" t="s">
        <v>160</v>
      </c>
      <c r="F43" s="35"/>
      <c r="G43" s="35">
        <f>34420281.36</f>
        <v>34420281.359999999</v>
      </c>
      <c r="H43" s="35"/>
      <c r="I43" s="35"/>
    </row>
    <row r="44" spans="1:9" s="12" customFormat="1" ht="11.25" customHeight="1" x14ac:dyDescent="0.2">
      <c r="A44" s="26"/>
      <c r="B44" s="27"/>
      <c r="C44" s="29" t="s">
        <v>161</v>
      </c>
      <c r="D44" s="29"/>
      <c r="E44" s="27" t="s">
        <v>162</v>
      </c>
      <c r="F44" s="35"/>
      <c r="G44" s="35">
        <f>68840562.6</f>
        <v>68840562.599999994</v>
      </c>
      <c r="H44" s="35"/>
      <c r="I44" s="35"/>
    </row>
    <row r="45" spans="1:9" s="12" customFormat="1" ht="11.25" customHeight="1" x14ac:dyDescent="0.2">
      <c r="A45" s="26"/>
      <c r="B45" s="27"/>
      <c r="C45" s="29" t="s">
        <v>163</v>
      </c>
      <c r="D45" s="29"/>
      <c r="E45" s="27" t="s">
        <v>164</v>
      </c>
      <c r="F45" s="35"/>
      <c r="G45" s="35">
        <f>122306733.12</f>
        <v>122306733.12</v>
      </c>
      <c r="H45" s="35"/>
      <c r="I45" s="35"/>
    </row>
    <row r="46" spans="1:9" s="12" customFormat="1" ht="11.25" customHeight="1" x14ac:dyDescent="0.2">
      <c r="A46" s="26"/>
      <c r="B46" s="27"/>
      <c r="C46" s="27"/>
      <c r="D46" s="27"/>
      <c r="E46" s="27"/>
      <c r="F46" s="35"/>
      <c r="G46" s="35"/>
      <c r="H46" s="35"/>
      <c r="I46" s="35"/>
    </row>
    <row r="47" spans="1:9" s="12" customFormat="1" ht="11.25" customHeight="1" x14ac:dyDescent="0.2">
      <c r="A47" s="26"/>
      <c r="B47" s="33">
        <v>0.99</v>
      </c>
      <c r="C47" s="29" t="s">
        <v>165</v>
      </c>
      <c r="D47" s="29"/>
      <c r="E47" s="27"/>
      <c r="F47" s="35"/>
      <c r="G47" s="35"/>
      <c r="H47" s="67">
        <f>+G49</f>
        <v>0</v>
      </c>
      <c r="I47" s="35"/>
    </row>
    <row r="48" spans="1:9" s="12" customFormat="1" ht="11.25" customHeight="1" x14ac:dyDescent="0.2">
      <c r="A48" s="26"/>
      <c r="B48" s="27"/>
      <c r="C48" s="27"/>
      <c r="D48" s="27"/>
      <c r="E48" s="27"/>
      <c r="F48" s="35"/>
      <c r="G48" s="35"/>
      <c r="H48" s="35"/>
      <c r="I48" s="35"/>
    </row>
    <row r="49" spans="1:10" s="12" customFormat="1" ht="11.25" customHeight="1" x14ac:dyDescent="0.2">
      <c r="A49" s="26" t="s">
        <v>166</v>
      </c>
      <c r="B49" s="27"/>
      <c r="C49" s="29" t="s">
        <v>167</v>
      </c>
      <c r="D49" s="29"/>
      <c r="E49" s="27" t="s">
        <v>168</v>
      </c>
      <c r="F49" s="35"/>
      <c r="G49" s="67">
        <v>0</v>
      </c>
      <c r="H49" s="35"/>
      <c r="I49" s="35"/>
    </row>
    <row r="50" spans="1:10" s="12" customFormat="1" ht="11.25" customHeight="1" x14ac:dyDescent="0.2">
      <c r="A50" s="26"/>
      <c r="B50" s="27"/>
      <c r="C50" s="27"/>
      <c r="D50" s="27"/>
      <c r="E50" s="27"/>
      <c r="F50" s="35"/>
      <c r="G50" s="35"/>
      <c r="H50" s="35"/>
      <c r="I50" s="35"/>
    </row>
    <row r="51" spans="1:10" s="12" customFormat="1" ht="15.75" customHeight="1" x14ac:dyDescent="0.2">
      <c r="A51" s="22">
        <v>1</v>
      </c>
      <c r="B51" s="23" t="s">
        <v>169</v>
      </c>
      <c r="C51" s="23"/>
      <c r="D51" s="23"/>
      <c r="E51" s="24"/>
      <c r="F51" s="36"/>
      <c r="G51" s="36"/>
      <c r="H51" s="36"/>
      <c r="I51" s="37">
        <f>+H53+H60+H75+H85+H99+H111+H116+H128+H142+H139</f>
        <v>2074671008</v>
      </c>
      <c r="J51" s="16"/>
    </row>
    <row r="52" spans="1:10" s="12" customFormat="1" ht="11.25" customHeight="1" x14ac:dyDescent="0.2">
      <c r="A52" s="26"/>
      <c r="B52" s="27"/>
      <c r="C52" s="27"/>
      <c r="D52" s="27"/>
      <c r="E52" s="27"/>
      <c r="F52" s="35"/>
      <c r="G52" s="35"/>
      <c r="H52" s="35"/>
      <c r="I52" s="35"/>
      <c r="J52" s="16"/>
    </row>
    <row r="53" spans="1:10" s="12" customFormat="1" ht="11.25" customHeight="1" x14ac:dyDescent="0.2">
      <c r="A53" s="26"/>
      <c r="B53" s="33">
        <v>1.01</v>
      </c>
      <c r="C53" s="29" t="s">
        <v>170</v>
      </c>
      <c r="D53" s="29"/>
      <c r="E53" s="27"/>
      <c r="F53" s="35"/>
      <c r="G53" s="35"/>
      <c r="H53" s="35">
        <f>+G55+G56+G57+G58</f>
        <v>0</v>
      </c>
      <c r="I53" s="35"/>
    </row>
    <row r="54" spans="1:10" s="12" customFormat="1" ht="11.25" customHeight="1" x14ac:dyDescent="0.2">
      <c r="A54" s="26"/>
      <c r="B54" s="27"/>
      <c r="C54" s="27"/>
      <c r="D54" s="27"/>
      <c r="E54" s="27"/>
      <c r="F54" s="35"/>
      <c r="G54" s="35"/>
      <c r="H54" s="35"/>
      <c r="I54" s="35"/>
    </row>
    <row r="55" spans="1:10" s="12" customFormat="1" ht="11.25" customHeight="1" x14ac:dyDescent="0.2">
      <c r="A55" s="26"/>
      <c r="B55" s="27"/>
      <c r="C55" s="29" t="s">
        <v>171</v>
      </c>
      <c r="D55" s="29"/>
      <c r="E55" s="27" t="s">
        <v>172</v>
      </c>
      <c r="F55" s="35"/>
      <c r="G55" s="35">
        <v>0</v>
      </c>
      <c r="H55" s="35"/>
      <c r="I55" s="35"/>
    </row>
    <row r="56" spans="1:10" s="12" customFormat="1" ht="11.25" customHeight="1" x14ac:dyDescent="0.2">
      <c r="A56" s="26"/>
      <c r="B56" s="27"/>
      <c r="C56" s="29" t="s">
        <v>240</v>
      </c>
      <c r="D56" s="29"/>
      <c r="E56" s="27" t="s">
        <v>241</v>
      </c>
      <c r="F56" s="35"/>
      <c r="G56" s="67">
        <v>0</v>
      </c>
      <c r="H56" s="35"/>
      <c r="I56" s="35"/>
    </row>
    <row r="57" spans="1:10" s="12" customFormat="1" ht="11.25" customHeight="1" x14ac:dyDescent="0.2">
      <c r="A57" s="26"/>
      <c r="B57" s="27"/>
      <c r="C57" s="29" t="s">
        <v>173</v>
      </c>
      <c r="D57" s="29"/>
      <c r="E57" s="27" t="s">
        <v>174</v>
      </c>
      <c r="F57" s="35"/>
      <c r="G57" s="67">
        <v>0</v>
      </c>
      <c r="H57" s="35"/>
      <c r="I57" s="35"/>
    </row>
    <row r="58" spans="1:10" s="12" customFormat="1" ht="11.25" customHeight="1" x14ac:dyDescent="0.2">
      <c r="A58" s="26"/>
      <c r="B58" s="27"/>
      <c r="C58" s="29" t="s">
        <v>175</v>
      </c>
      <c r="D58" s="29"/>
      <c r="E58" s="27" t="s">
        <v>112</v>
      </c>
      <c r="F58" s="35"/>
      <c r="G58" s="67">
        <v>0</v>
      </c>
      <c r="H58" s="35"/>
      <c r="I58" s="35"/>
    </row>
    <row r="59" spans="1:10" s="12" customFormat="1" ht="11.25" customHeight="1" x14ac:dyDescent="0.2">
      <c r="A59" s="26"/>
      <c r="B59" s="27"/>
      <c r="C59" s="27"/>
      <c r="D59" s="27"/>
      <c r="E59" s="27"/>
      <c r="F59" s="35"/>
      <c r="G59" s="35"/>
      <c r="H59" s="35"/>
      <c r="I59" s="35"/>
    </row>
    <row r="60" spans="1:10" s="12" customFormat="1" ht="11.25" customHeight="1" x14ac:dyDescent="0.2">
      <c r="A60" s="26"/>
      <c r="B60" s="33">
        <v>1.02</v>
      </c>
      <c r="C60" s="29" t="s">
        <v>176</v>
      </c>
      <c r="D60" s="29"/>
      <c r="E60" s="27"/>
      <c r="F60" s="35"/>
      <c r="G60" s="35"/>
      <c r="H60" s="35">
        <f>+G62+G64+G66+G67+G73</f>
        <v>4160000</v>
      </c>
      <c r="I60" s="35"/>
    </row>
    <row r="61" spans="1:10" s="12" customFormat="1" ht="11.25" customHeight="1" x14ac:dyDescent="0.2">
      <c r="A61" s="26"/>
      <c r="B61" s="27"/>
      <c r="C61" s="27"/>
      <c r="D61" s="27"/>
      <c r="E61" s="27"/>
      <c r="F61" s="35"/>
      <c r="G61" s="35"/>
      <c r="H61" s="35"/>
      <c r="I61" s="35"/>
    </row>
    <row r="62" spans="1:10" s="12" customFormat="1" ht="11.25" customHeight="1" x14ac:dyDescent="0.2">
      <c r="A62" s="26"/>
      <c r="B62" s="27"/>
      <c r="C62" s="29" t="s">
        <v>177</v>
      </c>
      <c r="D62" s="29"/>
      <c r="E62" s="27" t="s">
        <v>122</v>
      </c>
      <c r="F62" s="35"/>
      <c r="G62" s="35">
        <f>+F63</f>
        <v>0</v>
      </c>
      <c r="H62" s="35"/>
      <c r="I62" s="35"/>
    </row>
    <row r="63" spans="1:10" s="12" customFormat="1" ht="11.25" customHeight="1" x14ac:dyDescent="0.2">
      <c r="A63" s="26"/>
      <c r="B63" s="27"/>
      <c r="C63" s="27" t="s">
        <v>177</v>
      </c>
      <c r="D63" s="30">
        <v>1</v>
      </c>
      <c r="E63" s="27" t="s">
        <v>178</v>
      </c>
      <c r="F63" s="35">
        <v>0</v>
      </c>
      <c r="G63" s="35"/>
      <c r="H63" s="35"/>
      <c r="I63" s="35"/>
    </row>
    <row r="64" spans="1:10" s="12" customFormat="1" ht="11.25" customHeight="1" x14ac:dyDescent="0.2">
      <c r="A64" s="26"/>
      <c r="B64" s="27"/>
      <c r="C64" s="29" t="s">
        <v>179</v>
      </c>
      <c r="D64" s="29"/>
      <c r="E64" s="27" t="s">
        <v>180</v>
      </c>
      <c r="F64" s="35"/>
      <c r="G64" s="35">
        <f>+F65</f>
        <v>0</v>
      </c>
      <c r="H64" s="35"/>
      <c r="I64" s="35"/>
    </row>
    <row r="65" spans="1:9" s="12" customFormat="1" ht="11.25" customHeight="1" x14ac:dyDescent="0.2">
      <c r="A65" s="26"/>
      <c r="B65" s="27"/>
      <c r="C65" s="27" t="s">
        <v>179</v>
      </c>
      <c r="D65" s="30">
        <v>1</v>
      </c>
      <c r="E65" s="27" t="s">
        <v>178</v>
      </c>
      <c r="F65" s="35">
        <v>0</v>
      </c>
      <c r="G65" s="35"/>
      <c r="H65" s="35"/>
      <c r="I65" s="35"/>
    </row>
    <row r="66" spans="1:9" s="12" customFormat="1" ht="11.25" customHeight="1" x14ac:dyDescent="0.2">
      <c r="A66" s="26"/>
      <c r="B66" s="27"/>
      <c r="C66" s="29" t="s">
        <v>181</v>
      </c>
      <c r="D66" s="27"/>
      <c r="E66" s="27" t="s">
        <v>182</v>
      </c>
      <c r="F66" s="35"/>
      <c r="G66" s="35">
        <f>60000</f>
        <v>60000</v>
      </c>
      <c r="H66" s="35"/>
      <c r="I66" s="35"/>
    </row>
    <row r="67" spans="1:9" s="12" customFormat="1" ht="11.25" customHeight="1" x14ac:dyDescent="0.2">
      <c r="A67" s="26"/>
      <c r="B67" s="27"/>
      <c r="C67" s="29" t="s">
        <v>183</v>
      </c>
      <c r="D67" s="27"/>
      <c r="E67" s="27" t="s">
        <v>184</v>
      </c>
      <c r="F67" s="35"/>
      <c r="G67" s="35">
        <f>+F68+F69+F70+F71+F72</f>
        <v>4100000</v>
      </c>
      <c r="H67" s="35"/>
      <c r="I67" s="35"/>
    </row>
    <row r="68" spans="1:9" s="12" customFormat="1" ht="11.25" customHeight="1" x14ac:dyDescent="0.2">
      <c r="A68" s="26"/>
      <c r="B68" s="27"/>
      <c r="C68" s="27" t="s">
        <v>183</v>
      </c>
      <c r="D68" s="30">
        <v>1</v>
      </c>
      <c r="E68" s="27" t="s">
        <v>185</v>
      </c>
      <c r="F68" s="35">
        <f>2100000</f>
        <v>2100000</v>
      </c>
      <c r="G68" s="35"/>
      <c r="H68" s="35"/>
      <c r="I68" s="35"/>
    </row>
    <row r="69" spans="1:9" s="12" customFormat="1" ht="11.25" customHeight="1" x14ac:dyDescent="0.2">
      <c r="A69" s="26"/>
      <c r="B69" s="27"/>
      <c r="C69" s="27" t="s">
        <v>183</v>
      </c>
      <c r="D69" s="30">
        <v>2</v>
      </c>
      <c r="E69" s="27" t="s">
        <v>186</v>
      </c>
      <c r="F69" s="35">
        <f>300000</f>
        <v>300000</v>
      </c>
      <c r="G69" s="35"/>
      <c r="H69" s="35"/>
      <c r="I69" s="35"/>
    </row>
    <row r="70" spans="1:9" s="12" customFormat="1" ht="11.25" customHeight="1" x14ac:dyDescent="0.2">
      <c r="A70" s="26"/>
      <c r="B70" s="27"/>
      <c r="C70" s="27" t="s">
        <v>183</v>
      </c>
      <c r="D70" s="30">
        <v>3</v>
      </c>
      <c r="E70" s="27" t="s">
        <v>187</v>
      </c>
      <c r="F70" s="35">
        <f>1700000</f>
        <v>1700000</v>
      </c>
      <c r="G70" s="35"/>
      <c r="H70" s="35"/>
      <c r="I70" s="35"/>
    </row>
    <row r="71" spans="1:9" s="12" customFormat="1" ht="11.25" customHeight="1" x14ac:dyDescent="0.2">
      <c r="A71" s="26"/>
      <c r="B71" s="27"/>
      <c r="C71" s="27" t="s">
        <v>183</v>
      </c>
      <c r="D71" s="30">
        <v>4</v>
      </c>
      <c r="E71" s="27" t="s">
        <v>242</v>
      </c>
      <c r="F71" s="67">
        <v>0</v>
      </c>
      <c r="G71" s="35"/>
      <c r="H71" s="35"/>
      <c r="I71" s="35"/>
    </row>
    <row r="72" spans="1:9" s="12" customFormat="1" ht="11.25" customHeight="1" x14ac:dyDescent="0.2">
      <c r="A72" s="26"/>
      <c r="B72" s="27"/>
      <c r="C72" s="27" t="s">
        <v>183</v>
      </c>
      <c r="D72" s="30">
        <v>5</v>
      </c>
      <c r="E72" s="34" t="s">
        <v>188</v>
      </c>
      <c r="F72" s="67">
        <v>0</v>
      </c>
      <c r="G72" s="35"/>
      <c r="H72" s="35"/>
      <c r="I72" s="35"/>
    </row>
    <row r="73" spans="1:9" s="12" customFormat="1" ht="11.25" customHeight="1" x14ac:dyDescent="0.2">
      <c r="A73" s="26"/>
      <c r="B73" s="27"/>
      <c r="C73" s="29" t="s">
        <v>246</v>
      </c>
      <c r="D73" s="30"/>
      <c r="E73" s="34" t="s">
        <v>247</v>
      </c>
      <c r="F73" s="35"/>
      <c r="G73" s="35">
        <v>0</v>
      </c>
      <c r="H73" s="35"/>
      <c r="I73" s="35"/>
    </row>
    <row r="74" spans="1:9" s="12" customFormat="1" ht="11.25" customHeight="1" x14ac:dyDescent="0.2">
      <c r="A74" s="26"/>
      <c r="B74" s="27"/>
      <c r="C74" s="27"/>
      <c r="D74" s="27"/>
      <c r="E74" s="27"/>
      <c r="F74" s="35"/>
      <c r="G74" s="35"/>
      <c r="H74" s="35"/>
      <c r="I74" s="35"/>
    </row>
    <row r="75" spans="1:9" s="12" customFormat="1" ht="11.25" customHeight="1" x14ac:dyDescent="0.2">
      <c r="A75" s="26"/>
      <c r="B75" s="33">
        <v>1.03</v>
      </c>
      <c r="C75" s="29" t="s">
        <v>189</v>
      </c>
      <c r="D75" s="29"/>
      <c r="E75" s="27"/>
      <c r="F75" s="35"/>
      <c r="G75" s="35"/>
      <c r="H75" s="35">
        <f>+G77+G81+G83</f>
        <v>87667500</v>
      </c>
      <c r="I75" s="35"/>
    </row>
    <row r="76" spans="1:9" s="12" customFormat="1" ht="11.25" customHeight="1" x14ac:dyDescent="0.2">
      <c r="A76" s="26"/>
      <c r="B76" s="27"/>
      <c r="C76" s="27"/>
      <c r="D76" s="27"/>
      <c r="E76" s="27"/>
      <c r="F76" s="35"/>
      <c r="G76" s="35"/>
      <c r="H76" s="35"/>
      <c r="I76" s="35"/>
    </row>
    <row r="77" spans="1:9" s="12" customFormat="1" ht="11.25" customHeight="1" x14ac:dyDescent="0.2">
      <c r="A77" s="26"/>
      <c r="B77" s="27"/>
      <c r="C77" s="29" t="s">
        <v>190</v>
      </c>
      <c r="D77" s="29"/>
      <c r="E77" s="27" t="s">
        <v>191</v>
      </c>
      <c r="F77" s="35"/>
      <c r="G77" s="35">
        <f>+F78+F79+F80</f>
        <v>58200000</v>
      </c>
      <c r="H77" s="35"/>
      <c r="I77" s="35"/>
    </row>
    <row r="78" spans="1:9" s="12" customFormat="1" ht="11.25" customHeight="1" x14ac:dyDescent="0.2">
      <c r="A78" s="26"/>
      <c r="B78" s="27"/>
      <c r="C78" s="27" t="s">
        <v>190</v>
      </c>
      <c r="D78" s="30">
        <v>1</v>
      </c>
      <c r="E78" s="27" t="s">
        <v>192</v>
      </c>
      <c r="F78" s="35">
        <f>3000000</f>
        <v>3000000</v>
      </c>
      <c r="G78" s="35"/>
      <c r="H78" s="35"/>
      <c r="I78" s="35"/>
    </row>
    <row r="79" spans="1:9" s="12" customFormat="1" ht="11.25" customHeight="1" x14ac:dyDescent="0.2">
      <c r="A79" s="26"/>
      <c r="B79" s="27"/>
      <c r="C79" s="27" t="s">
        <v>190</v>
      </c>
      <c r="D79" s="30">
        <v>2</v>
      </c>
      <c r="E79" s="27" t="s">
        <v>193</v>
      </c>
      <c r="F79" s="35">
        <f>55000000</f>
        <v>55000000</v>
      </c>
      <c r="G79" s="35"/>
      <c r="H79" s="35"/>
      <c r="I79" s="35"/>
    </row>
    <row r="80" spans="1:9" s="12" customFormat="1" ht="11.25" customHeight="1" x14ac:dyDescent="0.2">
      <c r="A80" s="26"/>
      <c r="B80" s="27"/>
      <c r="C80" s="27" t="s">
        <v>190</v>
      </c>
      <c r="D80" s="30">
        <v>3</v>
      </c>
      <c r="E80" s="27" t="s">
        <v>193</v>
      </c>
      <c r="F80" s="35">
        <f>200000</f>
        <v>200000</v>
      </c>
      <c r="G80" s="35"/>
      <c r="H80" s="35"/>
      <c r="I80" s="35"/>
    </row>
    <row r="81" spans="1:9" s="12" customFormat="1" ht="11.25" customHeight="1" x14ac:dyDescent="0.2">
      <c r="A81" s="26"/>
      <c r="B81" s="27"/>
      <c r="C81" s="29" t="s">
        <v>194</v>
      </c>
      <c r="D81" s="30"/>
      <c r="E81" s="27" t="s">
        <v>121</v>
      </c>
      <c r="F81" s="35"/>
      <c r="G81" s="35">
        <f>+F82</f>
        <v>500000</v>
      </c>
      <c r="H81" s="35"/>
      <c r="I81" s="35"/>
    </row>
    <row r="82" spans="1:9" s="12" customFormat="1" ht="11.25" customHeight="1" x14ac:dyDescent="0.2">
      <c r="A82" s="26"/>
      <c r="B82" s="27"/>
      <c r="C82" s="27" t="s">
        <v>194</v>
      </c>
      <c r="D82" s="30">
        <v>3</v>
      </c>
      <c r="E82" s="27" t="s">
        <v>123</v>
      </c>
      <c r="F82" s="35">
        <f>500000</f>
        <v>500000</v>
      </c>
      <c r="G82" s="35"/>
      <c r="H82" s="35"/>
      <c r="I82" s="35"/>
    </row>
    <row r="83" spans="1:9" s="12" customFormat="1" ht="11.25" customHeight="1" x14ac:dyDescent="0.2">
      <c r="A83" s="26"/>
      <c r="B83" s="27"/>
      <c r="C83" s="29" t="s">
        <v>225</v>
      </c>
      <c r="D83" s="30"/>
      <c r="E83" s="27" t="s">
        <v>226</v>
      </c>
      <c r="F83" s="35"/>
      <c r="G83" s="35">
        <f>28967500</f>
        <v>28967500</v>
      </c>
      <c r="H83" s="35"/>
      <c r="I83" s="35"/>
    </row>
    <row r="84" spans="1:9" s="12" customFormat="1" ht="11.25" customHeight="1" x14ac:dyDescent="0.2">
      <c r="A84" s="26"/>
      <c r="B84" s="29"/>
      <c r="C84" s="29"/>
      <c r="D84" s="29"/>
      <c r="E84" s="34"/>
      <c r="F84" s="35"/>
      <c r="G84" s="35"/>
      <c r="H84" s="35"/>
      <c r="I84" s="35"/>
    </row>
    <row r="85" spans="1:9" s="12" customFormat="1" ht="11.25" customHeight="1" x14ac:dyDescent="0.2">
      <c r="A85" s="26"/>
      <c r="B85" s="33">
        <v>1.04</v>
      </c>
      <c r="C85" s="29" t="s">
        <v>195</v>
      </c>
      <c r="D85" s="29"/>
      <c r="E85" s="27"/>
      <c r="F85" s="35"/>
      <c r="G85" s="35"/>
      <c r="H85" s="35">
        <f>+G87+G89+G91+G94+G97+G93</f>
        <v>1859012758</v>
      </c>
      <c r="I85" s="35"/>
    </row>
    <row r="86" spans="1:9" s="12" customFormat="1" ht="11.25" customHeight="1" x14ac:dyDescent="0.2">
      <c r="A86" s="26"/>
      <c r="B86" s="27"/>
      <c r="C86" s="27"/>
      <c r="D86" s="27"/>
      <c r="E86" s="27"/>
      <c r="F86" s="35"/>
      <c r="G86" s="35"/>
      <c r="H86" s="35"/>
      <c r="I86" s="35"/>
    </row>
    <row r="87" spans="1:9" s="12" customFormat="1" ht="11.25" customHeight="1" x14ac:dyDescent="0.2">
      <c r="A87" s="26"/>
      <c r="B87" s="27"/>
      <c r="C87" s="29" t="s">
        <v>243</v>
      </c>
      <c r="D87" s="27"/>
      <c r="E87" s="27" t="s">
        <v>267</v>
      </c>
      <c r="F87" s="35"/>
      <c r="G87" s="67">
        <f>500000</f>
        <v>500000</v>
      </c>
      <c r="H87" s="35"/>
      <c r="I87" s="35"/>
    </row>
    <row r="88" spans="1:9" s="12" customFormat="1" ht="11.25" customHeight="1" x14ac:dyDescent="0.2">
      <c r="A88" s="26"/>
      <c r="B88" s="27"/>
      <c r="C88" s="27"/>
      <c r="D88" s="27"/>
      <c r="E88" s="27"/>
      <c r="F88" s="35"/>
      <c r="G88" s="35"/>
      <c r="H88" s="35"/>
      <c r="I88" s="35"/>
    </row>
    <row r="89" spans="1:9" s="12" customFormat="1" ht="11.25" customHeight="1" x14ac:dyDescent="0.2">
      <c r="A89" s="26"/>
      <c r="B89" s="27"/>
      <c r="C89" s="29" t="s">
        <v>231</v>
      </c>
      <c r="D89" s="27"/>
      <c r="E89" s="27" t="s">
        <v>232</v>
      </c>
      <c r="F89" s="35"/>
      <c r="G89" s="38">
        <f>2000000</f>
        <v>2000000</v>
      </c>
      <c r="H89" s="35"/>
      <c r="I89" s="35"/>
    </row>
    <row r="90" spans="1:9" s="12" customFormat="1" ht="11.25" customHeight="1" x14ac:dyDescent="0.2">
      <c r="A90" s="26"/>
      <c r="B90" s="27"/>
      <c r="C90" s="27"/>
      <c r="D90" s="27"/>
      <c r="E90" s="27"/>
      <c r="F90" s="35"/>
      <c r="G90" s="35"/>
      <c r="H90" s="35"/>
      <c r="I90" s="35"/>
    </row>
    <row r="91" spans="1:9" s="12" customFormat="1" ht="11.25" customHeight="1" x14ac:dyDescent="0.2">
      <c r="A91" s="26"/>
      <c r="B91" s="27"/>
      <c r="C91" s="29" t="s">
        <v>196</v>
      </c>
      <c r="D91" s="29"/>
      <c r="E91" s="27" t="s">
        <v>197</v>
      </c>
      <c r="F91" s="35"/>
      <c r="G91" s="35">
        <f>+F92</f>
        <v>428971830</v>
      </c>
      <c r="H91" s="35"/>
      <c r="I91" s="35"/>
    </row>
    <row r="92" spans="1:9" s="12" customFormat="1" ht="11.25" customHeight="1" x14ac:dyDescent="0.2">
      <c r="A92" s="26"/>
      <c r="B92" s="27"/>
      <c r="C92" s="27" t="s">
        <v>196</v>
      </c>
      <c r="D92" s="30">
        <v>4</v>
      </c>
      <c r="E92" s="27" t="s">
        <v>124</v>
      </c>
      <c r="F92" s="35">
        <f>428971830</f>
        <v>428971830</v>
      </c>
      <c r="G92" s="35"/>
      <c r="H92" s="35"/>
      <c r="I92" s="35"/>
    </row>
    <row r="93" spans="1:9" s="12" customFormat="1" ht="11.25" customHeight="1" x14ac:dyDescent="0.2">
      <c r="A93" s="26"/>
      <c r="B93" s="27"/>
      <c r="C93" s="29" t="s">
        <v>198</v>
      </c>
      <c r="D93" s="29"/>
      <c r="E93" s="27" t="s">
        <v>199</v>
      </c>
      <c r="F93" s="35"/>
      <c r="G93" s="35">
        <f>804900000</f>
        <v>804900000</v>
      </c>
      <c r="H93" s="35"/>
      <c r="I93" s="35"/>
    </row>
    <row r="94" spans="1:9" s="12" customFormat="1" ht="11.25" customHeight="1" x14ac:dyDescent="0.2">
      <c r="A94" s="26"/>
      <c r="B94" s="27"/>
      <c r="C94" s="29" t="s">
        <v>200</v>
      </c>
      <c r="D94" s="29"/>
      <c r="E94" s="27" t="s">
        <v>201</v>
      </c>
      <c r="F94" s="35"/>
      <c r="G94" s="35">
        <f>+F95+F96</f>
        <v>0</v>
      </c>
      <c r="H94" s="35"/>
      <c r="I94" s="35"/>
    </row>
    <row r="95" spans="1:9" s="12" customFormat="1" ht="11.25" customHeight="1" x14ac:dyDescent="0.2">
      <c r="A95" s="26"/>
      <c r="B95" s="27"/>
      <c r="C95" s="27" t="s">
        <v>200</v>
      </c>
      <c r="D95" s="30">
        <v>1</v>
      </c>
      <c r="E95" s="27" t="s">
        <v>202</v>
      </c>
      <c r="F95" s="35">
        <v>0</v>
      </c>
      <c r="G95" s="35"/>
      <c r="H95" s="35"/>
      <c r="I95" s="35"/>
    </row>
    <row r="96" spans="1:9" s="12" customFormat="1" ht="11.25" customHeight="1" x14ac:dyDescent="0.2">
      <c r="A96" s="26"/>
      <c r="B96" s="27"/>
      <c r="C96" s="27" t="s">
        <v>200</v>
      </c>
      <c r="D96" s="30">
        <v>5</v>
      </c>
      <c r="E96" s="27" t="s">
        <v>263</v>
      </c>
      <c r="F96" s="67">
        <v>0</v>
      </c>
      <c r="G96" s="35"/>
      <c r="H96" s="35"/>
      <c r="I96" s="35"/>
    </row>
    <row r="97" spans="1:9" s="12" customFormat="1" ht="11.25" customHeight="1" x14ac:dyDescent="0.2">
      <c r="A97" s="26"/>
      <c r="B97" s="27"/>
      <c r="C97" s="29" t="s">
        <v>203</v>
      </c>
      <c r="D97" s="29"/>
      <c r="E97" s="27" t="s">
        <v>204</v>
      </c>
      <c r="F97" s="35"/>
      <c r="G97" s="35">
        <f>622640928</f>
        <v>622640928</v>
      </c>
      <c r="H97" s="66"/>
      <c r="I97" s="35"/>
    </row>
    <row r="98" spans="1:9" s="12" customFormat="1" ht="11.25" customHeight="1" x14ac:dyDescent="0.2">
      <c r="A98" s="26"/>
      <c r="B98" s="27"/>
      <c r="C98" s="29"/>
      <c r="D98" s="29"/>
      <c r="E98" s="27"/>
      <c r="F98" s="35"/>
      <c r="G98" s="35"/>
      <c r="H98" s="35"/>
      <c r="I98" s="35"/>
    </row>
    <row r="99" spans="1:9" s="12" customFormat="1" ht="11.25" customHeight="1" x14ac:dyDescent="0.2">
      <c r="A99" s="26"/>
      <c r="B99" s="33">
        <v>1.05</v>
      </c>
      <c r="C99" s="29" t="s">
        <v>205</v>
      </c>
      <c r="D99" s="29"/>
      <c r="E99" s="27"/>
      <c r="F99" s="35"/>
      <c r="G99" s="35"/>
      <c r="H99" s="35">
        <f>+G101+G103+G104+G107</f>
        <v>5773875</v>
      </c>
      <c r="I99" s="35"/>
    </row>
    <row r="100" spans="1:9" s="12" customFormat="1" ht="11.25" customHeight="1" x14ac:dyDescent="0.2">
      <c r="A100" s="26"/>
      <c r="B100" s="27"/>
      <c r="C100" s="27"/>
      <c r="D100" s="27"/>
      <c r="E100" s="27"/>
      <c r="F100" s="35"/>
      <c r="G100" s="35"/>
      <c r="H100" s="35"/>
      <c r="I100" s="35"/>
    </row>
    <row r="101" spans="1:9" s="12" customFormat="1" ht="11.25" customHeight="1" x14ac:dyDescent="0.2">
      <c r="A101" s="26"/>
      <c r="B101" s="27"/>
      <c r="C101" s="29" t="s">
        <v>206</v>
      </c>
      <c r="D101" s="29"/>
      <c r="E101" s="27" t="s">
        <v>207</v>
      </c>
      <c r="F101" s="35"/>
      <c r="G101" s="35">
        <f>+F102</f>
        <v>32000</v>
      </c>
      <c r="H101" s="35"/>
      <c r="I101" s="35"/>
    </row>
    <row r="102" spans="1:9" s="12" customFormat="1" ht="11.25" customHeight="1" x14ac:dyDescent="0.2">
      <c r="A102" s="26"/>
      <c r="B102" s="27"/>
      <c r="C102" s="27" t="s">
        <v>206</v>
      </c>
      <c r="D102" s="30">
        <v>2</v>
      </c>
      <c r="E102" s="27" t="s">
        <v>208</v>
      </c>
      <c r="F102" s="35">
        <f>32000</f>
        <v>32000</v>
      </c>
      <c r="G102" s="35"/>
      <c r="H102" s="35"/>
      <c r="I102" s="35"/>
    </row>
    <row r="103" spans="1:9" s="12" customFormat="1" ht="11.25" customHeight="1" x14ac:dyDescent="0.2">
      <c r="A103" s="26"/>
      <c r="B103" s="27"/>
      <c r="C103" s="29" t="s">
        <v>209</v>
      </c>
      <c r="D103" s="29"/>
      <c r="E103" s="27" t="s">
        <v>210</v>
      </c>
      <c r="F103" s="35"/>
      <c r="G103" s="35">
        <f>100000</f>
        <v>100000</v>
      </c>
      <c r="H103" s="35"/>
      <c r="I103" s="35"/>
    </row>
    <row r="104" spans="1:9" s="12" customFormat="1" ht="11.25" customHeight="1" x14ac:dyDescent="0.2">
      <c r="A104" s="26"/>
      <c r="B104" s="27"/>
      <c r="C104" s="29" t="s">
        <v>211</v>
      </c>
      <c r="D104" s="29"/>
      <c r="E104" s="27" t="s">
        <v>212</v>
      </c>
      <c r="F104" s="35"/>
      <c r="G104" s="35">
        <f>+F105+F106</f>
        <v>2862500</v>
      </c>
      <c r="H104" s="35"/>
      <c r="I104" s="35"/>
    </row>
    <row r="105" spans="1:9" s="12" customFormat="1" ht="11.25" customHeight="1" x14ac:dyDescent="0.2">
      <c r="A105" s="26"/>
      <c r="B105" s="27"/>
      <c r="C105" s="27" t="s">
        <v>211</v>
      </c>
      <c r="D105" s="30">
        <v>1</v>
      </c>
      <c r="E105" s="27" t="s">
        <v>110</v>
      </c>
      <c r="F105" s="35">
        <v>0</v>
      </c>
      <c r="G105" s="35"/>
      <c r="H105" s="35"/>
      <c r="I105" s="35"/>
    </row>
    <row r="106" spans="1:9" s="12" customFormat="1" ht="11.25" customHeight="1" x14ac:dyDescent="0.2">
      <c r="A106" s="26"/>
      <c r="B106" s="27"/>
      <c r="C106" s="27" t="s">
        <v>211</v>
      </c>
      <c r="D106" s="30">
        <v>2</v>
      </c>
      <c r="E106" s="27" t="s">
        <v>213</v>
      </c>
      <c r="F106" s="35">
        <f>2862500</f>
        <v>2862500</v>
      </c>
      <c r="G106" s="35"/>
      <c r="H106" s="35"/>
      <c r="I106" s="35"/>
    </row>
    <row r="107" spans="1:9" s="12" customFormat="1" ht="11.25" customHeight="1" x14ac:dyDescent="0.2">
      <c r="A107" s="26"/>
      <c r="B107" s="27"/>
      <c r="C107" s="29" t="s">
        <v>214</v>
      </c>
      <c r="D107" s="29"/>
      <c r="E107" s="27" t="s">
        <v>215</v>
      </c>
      <c r="F107" s="35"/>
      <c r="G107" s="35">
        <f>+F108+F109</f>
        <v>2779375</v>
      </c>
      <c r="H107" s="35"/>
      <c r="I107" s="35"/>
    </row>
    <row r="108" spans="1:9" s="12" customFormat="1" ht="11.25" customHeight="1" x14ac:dyDescent="0.2">
      <c r="A108" s="26"/>
      <c r="B108" s="27"/>
      <c r="C108" s="27" t="s">
        <v>214</v>
      </c>
      <c r="D108" s="30">
        <v>1</v>
      </c>
      <c r="E108" s="27" t="s">
        <v>110</v>
      </c>
      <c r="F108" s="35">
        <v>0</v>
      </c>
      <c r="G108" s="35"/>
      <c r="H108" s="35"/>
      <c r="I108" s="35"/>
    </row>
    <row r="109" spans="1:9" s="12" customFormat="1" ht="11.25" customHeight="1" x14ac:dyDescent="0.2">
      <c r="A109" s="26"/>
      <c r="B109" s="27"/>
      <c r="C109" s="27" t="s">
        <v>214</v>
      </c>
      <c r="D109" s="30">
        <v>2</v>
      </c>
      <c r="E109" s="27" t="s">
        <v>213</v>
      </c>
      <c r="F109" s="35">
        <f>2779375</f>
        <v>2779375</v>
      </c>
      <c r="G109" s="35"/>
      <c r="H109" s="35"/>
      <c r="I109" s="35"/>
    </row>
    <row r="110" spans="1:9" s="12" customFormat="1" ht="11.25" customHeight="1" x14ac:dyDescent="0.2">
      <c r="A110" s="32"/>
      <c r="B110" s="27"/>
      <c r="C110" s="27"/>
      <c r="D110" s="27"/>
      <c r="E110" s="27"/>
      <c r="F110" s="35"/>
      <c r="G110" s="35"/>
      <c r="H110" s="35"/>
      <c r="I110" s="35"/>
    </row>
    <row r="111" spans="1:9" s="12" customFormat="1" ht="11.25" customHeight="1" x14ac:dyDescent="0.2">
      <c r="A111" s="32"/>
      <c r="B111" s="33">
        <v>1.06</v>
      </c>
      <c r="C111" s="29" t="s">
        <v>216</v>
      </c>
      <c r="D111" s="29"/>
      <c r="E111" s="27"/>
      <c r="F111" s="35"/>
      <c r="G111" s="35"/>
      <c r="H111" s="35">
        <f>+G113</f>
        <v>2500000</v>
      </c>
      <c r="I111" s="35"/>
    </row>
    <row r="112" spans="1:9" s="12" customFormat="1" ht="11.25" customHeight="1" x14ac:dyDescent="0.2">
      <c r="A112" s="26"/>
      <c r="B112" s="27"/>
      <c r="C112" s="27"/>
      <c r="D112" s="27"/>
      <c r="E112" s="27"/>
      <c r="F112" s="35"/>
      <c r="G112" s="35"/>
      <c r="H112" s="35"/>
      <c r="I112" s="35"/>
    </row>
    <row r="113" spans="1:9" s="12" customFormat="1" ht="11.25" customHeight="1" x14ac:dyDescent="0.2">
      <c r="A113" s="26"/>
      <c r="B113" s="27"/>
      <c r="C113" s="29" t="s">
        <v>217</v>
      </c>
      <c r="D113" s="29"/>
      <c r="E113" s="27" t="s">
        <v>218</v>
      </c>
      <c r="F113" s="35"/>
      <c r="G113" s="35">
        <f>+F114</f>
        <v>2500000</v>
      </c>
      <c r="H113" s="35"/>
      <c r="I113" s="35"/>
    </row>
    <row r="114" spans="1:9" s="12" customFormat="1" ht="11.25" customHeight="1" x14ac:dyDescent="0.2">
      <c r="A114" s="26"/>
      <c r="B114" s="27"/>
      <c r="C114" s="27" t="s">
        <v>217</v>
      </c>
      <c r="D114" s="30">
        <v>1</v>
      </c>
      <c r="E114" s="27" t="s">
        <v>0</v>
      </c>
      <c r="F114" s="35">
        <f>2500000</f>
        <v>2500000</v>
      </c>
      <c r="G114" s="35"/>
      <c r="H114" s="35"/>
      <c r="I114" s="35"/>
    </row>
    <row r="115" spans="1:9" s="12" customFormat="1" ht="11.25" customHeight="1" x14ac:dyDescent="0.2">
      <c r="A115" s="26"/>
      <c r="B115" s="27"/>
      <c r="C115" s="27"/>
      <c r="D115" s="27"/>
      <c r="E115" s="27"/>
      <c r="F115" s="35"/>
      <c r="G115" s="35"/>
      <c r="H115" s="35"/>
      <c r="I115" s="35"/>
    </row>
    <row r="116" spans="1:9" s="12" customFormat="1" ht="11.25" customHeight="1" x14ac:dyDescent="0.2">
      <c r="A116" s="26"/>
      <c r="B116" s="33">
        <v>1.07</v>
      </c>
      <c r="C116" s="29" t="s">
        <v>1</v>
      </c>
      <c r="D116" s="29"/>
      <c r="E116" s="27"/>
      <c r="F116" s="35"/>
      <c r="G116" s="35"/>
      <c r="H116" s="35">
        <f>+G118+G124+G125</f>
        <v>112526875</v>
      </c>
      <c r="I116" s="35"/>
    </row>
    <row r="117" spans="1:9" s="12" customFormat="1" ht="11.25" customHeight="1" x14ac:dyDescent="0.2">
      <c r="A117" s="26"/>
      <c r="B117" s="27"/>
      <c r="C117" s="27"/>
      <c r="D117" s="27"/>
      <c r="E117" s="27"/>
      <c r="F117" s="35"/>
      <c r="G117" s="35"/>
      <c r="H117" s="35"/>
      <c r="I117" s="35"/>
    </row>
    <row r="118" spans="1:9" s="12" customFormat="1" ht="11.25" customHeight="1" x14ac:dyDescent="0.2">
      <c r="A118" s="26"/>
      <c r="B118" s="27"/>
      <c r="C118" s="29" t="s">
        <v>2</v>
      </c>
      <c r="D118" s="29"/>
      <c r="E118" s="27" t="s">
        <v>3</v>
      </c>
      <c r="F118" s="35"/>
      <c r="G118" s="35">
        <f>SUM(F119:F123)</f>
        <v>112526875</v>
      </c>
      <c r="H118" s="35"/>
      <c r="I118" s="35"/>
    </row>
    <row r="119" spans="1:9" s="12" customFormat="1" ht="11.25" customHeight="1" x14ac:dyDescent="0.2">
      <c r="A119" s="26"/>
      <c r="B119" s="27"/>
      <c r="C119" s="27" t="s">
        <v>2</v>
      </c>
      <c r="D119" s="30">
        <v>1</v>
      </c>
      <c r="E119" s="27" t="s">
        <v>4</v>
      </c>
      <c r="F119" s="35">
        <f>300000</f>
        <v>300000</v>
      </c>
      <c r="G119" s="35"/>
      <c r="H119" s="35"/>
      <c r="I119" s="35"/>
    </row>
    <row r="120" spans="1:9" s="12" customFormat="1" ht="11.25" customHeight="1" x14ac:dyDescent="0.2">
      <c r="A120" s="26"/>
      <c r="B120" s="27"/>
      <c r="C120" s="27" t="s">
        <v>2</v>
      </c>
      <c r="D120" s="30">
        <v>2</v>
      </c>
      <c r="E120" s="27" t="s">
        <v>5</v>
      </c>
      <c r="F120" s="35">
        <f>750000</f>
        <v>750000</v>
      </c>
      <c r="G120" s="35"/>
      <c r="H120" s="35"/>
      <c r="I120" s="35"/>
    </row>
    <row r="121" spans="1:9" s="12" customFormat="1" ht="11.25" customHeight="1" x14ac:dyDescent="0.2">
      <c r="A121" s="26"/>
      <c r="B121" s="27"/>
      <c r="C121" s="27" t="s">
        <v>2</v>
      </c>
      <c r="D121" s="30">
        <v>3</v>
      </c>
      <c r="E121" s="27" t="s">
        <v>6</v>
      </c>
      <c r="F121" s="35">
        <f>68650000</f>
        <v>68650000</v>
      </c>
      <c r="G121" s="35"/>
      <c r="H121" s="35"/>
      <c r="I121" s="35"/>
    </row>
    <row r="122" spans="1:9" s="12" customFormat="1" ht="11.25" customHeight="1" x14ac:dyDescent="0.2">
      <c r="A122" s="26"/>
      <c r="B122" s="27"/>
      <c r="C122" s="27" t="s">
        <v>2</v>
      </c>
      <c r="D122" s="30">
        <v>4</v>
      </c>
      <c r="E122" s="27" t="s">
        <v>7</v>
      </c>
      <c r="F122" s="35">
        <f>30130000</f>
        <v>30130000</v>
      </c>
      <c r="G122" s="35"/>
      <c r="H122" s="35"/>
      <c r="I122" s="35"/>
    </row>
    <row r="123" spans="1:9" s="12" customFormat="1" ht="11.25" customHeight="1" x14ac:dyDescent="0.2">
      <c r="A123" s="26"/>
      <c r="B123" s="27"/>
      <c r="C123" s="27" t="s">
        <v>2</v>
      </c>
      <c r="D123" s="30">
        <v>6</v>
      </c>
      <c r="E123" s="27" t="s">
        <v>268</v>
      </c>
      <c r="F123" s="35">
        <f>12696875</f>
        <v>12696875</v>
      </c>
      <c r="G123" s="35"/>
      <c r="H123" s="35"/>
      <c r="I123" s="35"/>
    </row>
    <row r="124" spans="1:9" s="12" customFormat="1" ht="11.25" customHeight="1" x14ac:dyDescent="0.2">
      <c r="A124" s="26"/>
      <c r="B124" s="27"/>
      <c r="C124" s="29" t="s">
        <v>8</v>
      </c>
      <c r="D124" s="29"/>
      <c r="E124" s="27" t="s">
        <v>9</v>
      </c>
      <c r="F124" s="35"/>
      <c r="G124" s="35">
        <v>0</v>
      </c>
      <c r="H124" s="35"/>
      <c r="I124" s="35"/>
    </row>
    <row r="125" spans="1:9" s="12" customFormat="1" ht="11.25" customHeight="1" x14ac:dyDescent="0.2">
      <c r="A125" s="26"/>
      <c r="B125" s="27"/>
      <c r="C125" s="29" t="s">
        <v>10</v>
      </c>
      <c r="D125" s="29"/>
      <c r="E125" s="27" t="s">
        <v>11</v>
      </c>
      <c r="F125" s="35"/>
      <c r="G125" s="67">
        <v>0</v>
      </c>
      <c r="H125" s="35"/>
      <c r="I125" s="35"/>
    </row>
    <row r="126" spans="1:9" s="12" customFormat="1" ht="11.25" customHeight="1" x14ac:dyDescent="0.2">
      <c r="A126" s="26"/>
      <c r="B126" s="27"/>
      <c r="C126" s="27" t="s">
        <v>10</v>
      </c>
      <c r="D126" s="30">
        <v>6</v>
      </c>
      <c r="E126" s="27" t="s">
        <v>12</v>
      </c>
      <c r="F126" s="67">
        <v>0</v>
      </c>
      <c r="G126" s="35"/>
      <c r="H126" s="35"/>
      <c r="I126" s="35"/>
    </row>
    <row r="127" spans="1:9" s="12" customFormat="1" ht="11.25" customHeight="1" x14ac:dyDescent="0.2">
      <c r="A127" s="26"/>
      <c r="B127" s="27"/>
      <c r="C127" s="27"/>
      <c r="D127" s="27"/>
      <c r="E127" s="27"/>
      <c r="F127" s="35"/>
      <c r="G127" s="35"/>
      <c r="H127" s="35"/>
      <c r="I127" s="35"/>
    </row>
    <row r="128" spans="1:9" s="12" customFormat="1" ht="11.25" customHeight="1" x14ac:dyDescent="0.2">
      <c r="A128" s="26"/>
      <c r="B128" s="33">
        <v>1.08</v>
      </c>
      <c r="C128" s="29" t="s">
        <v>13</v>
      </c>
      <c r="D128" s="29"/>
      <c r="E128" s="27"/>
      <c r="F128" s="35"/>
      <c r="G128" s="35"/>
      <c r="H128" s="35">
        <f>SUM(G129:G137)</f>
        <v>2650000</v>
      </c>
      <c r="I128" s="35"/>
    </row>
    <row r="129" spans="1:9" s="12" customFormat="1" ht="11.25" customHeight="1" x14ac:dyDescent="0.2">
      <c r="A129" s="26"/>
      <c r="B129" s="27"/>
      <c r="C129" s="27"/>
      <c r="D129" s="27"/>
      <c r="E129" s="27"/>
      <c r="F129" s="35"/>
      <c r="G129" s="35"/>
      <c r="H129" s="35"/>
      <c r="I129" s="35"/>
    </row>
    <row r="130" spans="1:9" s="12" customFormat="1" ht="11.25" customHeight="1" x14ac:dyDescent="0.2">
      <c r="A130" s="26"/>
      <c r="B130" s="27"/>
      <c r="C130" s="29" t="s">
        <v>14</v>
      </c>
      <c r="D130" s="29"/>
      <c r="E130" s="27" t="s">
        <v>15</v>
      </c>
      <c r="F130" s="35"/>
      <c r="G130" s="35">
        <f>+F131</f>
        <v>0</v>
      </c>
      <c r="H130" s="35"/>
      <c r="I130" s="35"/>
    </row>
    <row r="131" spans="1:9" s="12" customFormat="1" ht="11.25" customHeight="1" x14ac:dyDescent="0.2">
      <c r="A131" s="26"/>
      <c r="B131" s="27"/>
      <c r="C131" s="27" t="s">
        <v>14</v>
      </c>
      <c r="D131" s="30">
        <v>1</v>
      </c>
      <c r="E131" s="27" t="s">
        <v>178</v>
      </c>
      <c r="F131" s="35">
        <v>0</v>
      </c>
      <c r="G131" s="35"/>
      <c r="H131" s="35"/>
      <c r="I131" s="35"/>
    </row>
    <row r="132" spans="1:9" s="12" customFormat="1" ht="11.25" customHeight="1" x14ac:dyDescent="0.2">
      <c r="A132" s="26"/>
      <c r="B132" s="27"/>
      <c r="C132" s="29" t="s">
        <v>244</v>
      </c>
      <c r="D132" s="29"/>
      <c r="E132" s="27" t="s">
        <v>245</v>
      </c>
      <c r="F132" s="35"/>
      <c r="G132" s="67">
        <v>0</v>
      </c>
      <c r="H132" s="35"/>
      <c r="I132" s="35"/>
    </row>
    <row r="133" spans="1:9" s="12" customFormat="1" ht="11.25" customHeight="1" x14ac:dyDescent="0.2">
      <c r="A133" s="26"/>
      <c r="B133" s="27"/>
      <c r="C133" s="29" t="s">
        <v>16</v>
      </c>
      <c r="D133" s="29"/>
      <c r="E133" s="27" t="s">
        <v>17</v>
      </c>
      <c r="F133" s="35"/>
      <c r="G133" s="35">
        <f>2000000</f>
        <v>2000000</v>
      </c>
      <c r="H133" s="35"/>
      <c r="I133" s="35"/>
    </row>
    <row r="134" spans="1:9" s="12" customFormat="1" ht="11.25" customHeight="1" x14ac:dyDescent="0.2">
      <c r="A134" s="26"/>
      <c r="B134" s="27"/>
      <c r="C134" s="29" t="s">
        <v>223</v>
      </c>
      <c r="D134" s="29"/>
      <c r="E134" s="27" t="s">
        <v>224</v>
      </c>
      <c r="F134" s="35"/>
      <c r="G134" s="35">
        <v>500000</v>
      </c>
      <c r="H134" s="35"/>
      <c r="I134" s="35"/>
    </row>
    <row r="135" spans="1:9" s="12" customFormat="1" ht="11.25" customHeight="1" x14ac:dyDescent="0.2">
      <c r="A135" s="26"/>
      <c r="B135" s="27"/>
      <c r="C135" s="29" t="s">
        <v>18</v>
      </c>
      <c r="D135" s="29"/>
      <c r="E135" s="27" t="s">
        <v>19</v>
      </c>
      <c r="F135" s="35"/>
      <c r="G135" s="35">
        <v>0</v>
      </c>
      <c r="H135" s="35"/>
      <c r="I135" s="35"/>
    </row>
    <row r="136" spans="1:9" s="12" customFormat="1" ht="11.25" customHeight="1" x14ac:dyDescent="0.2">
      <c r="A136" s="26"/>
      <c r="B136" s="27"/>
      <c r="C136" s="29" t="s">
        <v>20</v>
      </c>
      <c r="D136" s="29"/>
      <c r="E136" s="27" t="s">
        <v>21</v>
      </c>
      <c r="F136" s="35"/>
      <c r="G136" s="35">
        <v>0</v>
      </c>
      <c r="H136" s="35"/>
      <c r="I136" s="35"/>
    </row>
    <row r="137" spans="1:9" s="12" customFormat="1" ht="11.25" customHeight="1" x14ac:dyDescent="0.2">
      <c r="A137" s="26"/>
      <c r="B137" s="27"/>
      <c r="C137" s="29" t="s">
        <v>222</v>
      </c>
      <c r="D137" s="27"/>
      <c r="E137" s="27" t="s">
        <v>230</v>
      </c>
      <c r="F137" s="35"/>
      <c r="G137" s="35">
        <v>150000</v>
      </c>
      <c r="H137" s="35"/>
      <c r="I137" s="35"/>
    </row>
    <row r="138" spans="1:9" s="12" customFormat="1" ht="11.25" customHeight="1" x14ac:dyDescent="0.2">
      <c r="A138" s="26"/>
      <c r="B138" s="27"/>
      <c r="C138" s="29"/>
      <c r="D138" s="27"/>
      <c r="E138" s="27"/>
      <c r="F138" s="35"/>
      <c r="G138" s="35"/>
      <c r="H138" s="35"/>
      <c r="I138" s="35"/>
    </row>
    <row r="139" spans="1:9" s="12" customFormat="1" ht="11.25" customHeight="1" x14ac:dyDescent="0.2">
      <c r="A139" s="26"/>
      <c r="B139" s="28">
        <v>1.0900000000000001</v>
      </c>
      <c r="C139" s="29" t="s">
        <v>249</v>
      </c>
      <c r="D139" s="27"/>
      <c r="E139" s="27"/>
      <c r="F139" s="35"/>
      <c r="G139" s="35"/>
      <c r="H139" s="35">
        <f>+G140</f>
        <v>80000</v>
      </c>
      <c r="I139" s="35"/>
    </row>
    <row r="140" spans="1:9" s="12" customFormat="1" ht="11.25" customHeight="1" x14ac:dyDescent="0.2">
      <c r="A140" s="26"/>
      <c r="B140" s="27"/>
      <c r="C140" s="29" t="s">
        <v>248</v>
      </c>
      <c r="D140" s="27"/>
      <c r="E140" s="27" t="s">
        <v>250</v>
      </c>
      <c r="F140" s="35"/>
      <c r="G140" s="35">
        <v>80000</v>
      </c>
      <c r="H140" s="35"/>
      <c r="I140" s="35"/>
    </row>
    <row r="141" spans="1:9" s="12" customFormat="1" ht="11.25" customHeight="1" x14ac:dyDescent="0.2">
      <c r="A141" s="26"/>
      <c r="B141" s="27"/>
      <c r="C141" s="29"/>
      <c r="D141" s="27"/>
      <c r="E141" s="27"/>
      <c r="F141" s="35"/>
      <c r="G141" s="35"/>
      <c r="H141" s="35"/>
      <c r="I141" s="35"/>
    </row>
    <row r="142" spans="1:9" s="12" customFormat="1" ht="11.25" customHeight="1" x14ac:dyDescent="0.2">
      <c r="A142" s="26"/>
      <c r="B142" s="33">
        <v>1.99</v>
      </c>
      <c r="C142" s="29" t="s">
        <v>22</v>
      </c>
      <c r="D142" s="29"/>
      <c r="E142" s="27"/>
      <c r="F142" s="35"/>
      <c r="G142" s="35"/>
      <c r="H142" s="35">
        <f>+G144</f>
        <v>300000</v>
      </c>
      <c r="I142" s="35"/>
    </row>
    <row r="143" spans="1:9" s="12" customFormat="1" ht="11.25" customHeight="1" x14ac:dyDescent="0.2">
      <c r="A143" s="26"/>
      <c r="B143" s="27"/>
      <c r="C143" s="27"/>
      <c r="D143" s="27"/>
      <c r="E143" s="27"/>
      <c r="F143" s="35"/>
      <c r="G143" s="35"/>
      <c r="H143" s="35"/>
      <c r="I143" s="35"/>
    </row>
    <row r="144" spans="1:9" s="12" customFormat="1" ht="11.25" customHeight="1" x14ac:dyDescent="0.2">
      <c r="A144" s="26"/>
      <c r="B144" s="27"/>
      <c r="C144" s="29" t="s">
        <v>23</v>
      </c>
      <c r="D144" s="29"/>
      <c r="E144" s="27" t="s">
        <v>24</v>
      </c>
      <c r="F144" s="35"/>
      <c r="G144" s="35">
        <v>300000</v>
      </c>
      <c r="H144" s="35"/>
      <c r="I144" s="35"/>
    </row>
    <row r="145" spans="1:10" s="12" customFormat="1" ht="11.25" customHeight="1" x14ac:dyDescent="0.2">
      <c r="A145" s="26"/>
      <c r="B145" s="27"/>
      <c r="C145" s="27"/>
      <c r="D145" s="27"/>
      <c r="E145" s="27"/>
      <c r="F145" s="35"/>
      <c r="G145" s="35"/>
      <c r="H145" s="35"/>
      <c r="I145" s="35"/>
    </row>
    <row r="146" spans="1:10" s="12" customFormat="1" ht="15.75" customHeight="1" x14ac:dyDescent="0.2">
      <c r="A146" s="22">
        <v>2</v>
      </c>
      <c r="B146" s="23" t="s">
        <v>25</v>
      </c>
      <c r="C146" s="23"/>
      <c r="D146" s="23"/>
      <c r="E146" s="24"/>
      <c r="F146" s="36"/>
      <c r="G146" s="36"/>
      <c r="H146" s="36"/>
      <c r="I146" s="37">
        <f>+H148+H154+H158+H167+H172</f>
        <v>17009000</v>
      </c>
      <c r="J146" s="16"/>
    </row>
    <row r="147" spans="1:10" s="12" customFormat="1" ht="11.25" customHeight="1" x14ac:dyDescent="0.2">
      <c r="A147" s="26"/>
      <c r="B147" s="27"/>
      <c r="C147" s="27"/>
      <c r="D147" s="27"/>
      <c r="E147" s="27"/>
      <c r="F147" s="35"/>
      <c r="G147" s="35"/>
      <c r="H147" s="35"/>
      <c r="I147" s="35"/>
      <c r="J147" s="16"/>
    </row>
    <row r="148" spans="1:10" s="12" customFormat="1" ht="11.25" customHeight="1" x14ac:dyDescent="0.2">
      <c r="A148" s="26"/>
      <c r="B148" s="33" t="s">
        <v>26</v>
      </c>
      <c r="C148" s="29" t="s">
        <v>27</v>
      </c>
      <c r="D148" s="29"/>
      <c r="E148" s="27"/>
      <c r="F148" s="35"/>
      <c r="G148" s="35"/>
      <c r="H148" s="35">
        <f>+G150+G151+G152</f>
        <v>1724000</v>
      </c>
      <c r="I148" s="35"/>
    </row>
    <row r="149" spans="1:10" s="12" customFormat="1" ht="11.25" customHeight="1" x14ac:dyDescent="0.2">
      <c r="A149" s="26"/>
      <c r="B149" s="27"/>
      <c r="C149" s="27"/>
      <c r="D149" s="27"/>
      <c r="E149" s="27"/>
      <c r="F149" s="35"/>
      <c r="G149" s="35"/>
      <c r="H149" s="35"/>
      <c r="I149" s="35"/>
    </row>
    <row r="150" spans="1:10" s="12" customFormat="1" ht="11.25" customHeight="1" x14ac:dyDescent="0.2">
      <c r="A150" s="26"/>
      <c r="B150" s="27"/>
      <c r="C150" s="29" t="s">
        <v>28</v>
      </c>
      <c r="D150" s="29"/>
      <c r="E150" s="27" t="s">
        <v>29</v>
      </c>
      <c r="F150" s="35"/>
      <c r="G150" s="35">
        <v>724000</v>
      </c>
      <c r="H150" s="35"/>
      <c r="I150" s="35"/>
    </row>
    <row r="151" spans="1:10" s="12" customFormat="1" ht="11.25" customHeight="1" x14ac:dyDescent="0.2">
      <c r="A151" s="26"/>
      <c r="B151" s="27"/>
      <c r="C151" s="29" t="s">
        <v>30</v>
      </c>
      <c r="D151" s="29"/>
      <c r="E151" s="27" t="s">
        <v>31</v>
      </c>
      <c r="F151" s="35"/>
      <c r="G151" s="35">
        <v>400000</v>
      </c>
      <c r="H151" s="35"/>
      <c r="I151" s="35"/>
    </row>
    <row r="152" spans="1:10" s="12" customFormat="1" ht="11.25" customHeight="1" x14ac:dyDescent="0.2">
      <c r="A152" s="26"/>
      <c r="B152" s="27"/>
      <c r="C152" s="29" t="s">
        <v>32</v>
      </c>
      <c r="D152" s="29"/>
      <c r="E152" s="27" t="s">
        <v>33</v>
      </c>
      <c r="F152" s="35"/>
      <c r="G152" s="35">
        <v>600000</v>
      </c>
      <c r="H152" s="35"/>
      <c r="I152" s="35"/>
    </row>
    <row r="153" spans="1:10" s="12" customFormat="1" ht="11.25" customHeight="1" x14ac:dyDescent="0.2">
      <c r="A153" s="26"/>
      <c r="B153" s="27"/>
      <c r="C153" s="27"/>
      <c r="D153" s="27"/>
      <c r="E153" s="27"/>
      <c r="F153" s="35"/>
      <c r="G153" s="35"/>
      <c r="H153" s="35"/>
      <c r="I153" s="35"/>
    </row>
    <row r="154" spans="1:10" s="12" customFormat="1" ht="11.25" customHeight="1" x14ac:dyDescent="0.2">
      <c r="A154" s="26"/>
      <c r="B154" s="33">
        <v>2.02</v>
      </c>
      <c r="C154" s="29" t="s">
        <v>34</v>
      </c>
      <c r="D154" s="29"/>
      <c r="E154" s="27"/>
      <c r="F154" s="35"/>
      <c r="G154" s="35"/>
      <c r="H154" s="35">
        <f>+G156</f>
        <v>2500000</v>
      </c>
      <c r="I154" s="35"/>
    </row>
    <row r="155" spans="1:10" s="12" customFormat="1" ht="11.25" customHeight="1" x14ac:dyDescent="0.2">
      <c r="A155" s="26"/>
      <c r="B155" s="27"/>
      <c r="C155" s="27"/>
      <c r="D155" s="27"/>
      <c r="E155" s="27"/>
      <c r="F155" s="35"/>
      <c r="G155" s="35"/>
      <c r="H155" s="35"/>
      <c r="I155" s="35"/>
    </row>
    <row r="156" spans="1:10" s="12" customFormat="1" ht="11.25" customHeight="1" x14ac:dyDescent="0.2">
      <c r="A156" s="26"/>
      <c r="B156" s="27"/>
      <c r="C156" s="29" t="s">
        <v>35</v>
      </c>
      <c r="D156" s="29"/>
      <c r="E156" s="27" t="s">
        <v>36</v>
      </c>
      <c r="F156" s="35"/>
      <c r="G156" s="35">
        <v>2500000</v>
      </c>
      <c r="H156" s="35"/>
      <c r="I156" s="35"/>
    </row>
    <row r="157" spans="1:10" s="12" customFormat="1" ht="11.25" customHeight="1" x14ac:dyDescent="0.2">
      <c r="A157" s="26"/>
      <c r="B157" s="27"/>
      <c r="C157" s="27"/>
      <c r="D157" s="27"/>
      <c r="E157" s="27"/>
      <c r="F157" s="35"/>
      <c r="G157" s="35"/>
      <c r="H157" s="35"/>
      <c r="I157" s="35"/>
    </row>
    <row r="158" spans="1:10" s="12" customFormat="1" ht="11.25" customHeight="1" x14ac:dyDescent="0.2">
      <c r="A158" s="26"/>
      <c r="B158" s="33">
        <v>2.0299999999999998</v>
      </c>
      <c r="C158" s="29" t="s">
        <v>37</v>
      </c>
      <c r="D158" s="29"/>
      <c r="E158" s="27"/>
      <c r="F158" s="35"/>
      <c r="G158" s="35"/>
      <c r="H158" s="35">
        <f>SUM(G160:G165)</f>
        <v>0</v>
      </c>
      <c r="I158" s="35"/>
    </row>
    <row r="159" spans="1:10" s="12" customFormat="1" ht="11.25" customHeight="1" x14ac:dyDescent="0.2">
      <c r="A159" s="26"/>
      <c r="B159" s="27"/>
      <c r="C159" s="27"/>
      <c r="D159" s="27"/>
      <c r="E159" s="27"/>
      <c r="F159" s="35"/>
      <c r="G159" s="35"/>
      <c r="H159" s="35"/>
      <c r="I159" s="35"/>
    </row>
    <row r="160" spans="1:10" s="12" customFormat="1" ht="11.25" customHeight="1" x14ac:dyDescent="0.2">
      <c r="A160" s="26"/>
      <c r="B160" s="27"/>
      <c r="C160" s="29" t="s">
        <v>38</v>
      </c>
      <c r="D160" s="29"/>
      <c r="E160" s="27" t="s">
        <v>39</v>
      </c>
      <c r="F160" s="35"/>
      <c r="G160" s="35">
        <v>0</v>
      </c>
      <c r="H160" s="35"/>
      <c r="I160" s="35"/>
    </row>
    <row r="161" spans="1:9" s="12" customFormat="1" ht="11.25" customHeight="1" x14ac:dyDescent="0.2">
      <c r="A161" s="26"/>
      <c r="B161" s="27"/>
      <c r="C161" s="29" t="s">
        <v>40</v>
      </c>
      <c r="D161" s="29"/>
      <c r="E161" s="27" t="s">
        <v>41</v>
      </c>
      <c r="F161" s="35"/>
      <c r="G161" s="35">
        <v>0</v>
      </c>
      <c r="H161" s="35"/>
      <c r="I161" s="35"/>
    </row>
    <row r="162" spans="1:9" s="12" customFormat="1" ht="11.25" customHeight="1" x14ac:dyDescent="0.2">
      <c r="A162" s="26"/>
      <c r="B162" s="27"/>
      <c r="C162" s="29" t="s">
        <v>42</v>
      </c>
      <c r="D162" s="29"/>
      <c r="E162" s="27" t="s">
        <v>43</v>
      </c>
      <c r="F162" s="35"/>
      <c r="G162" s="35">
        <v>0</v>
      </c>
      <c r="H162" s="35"/>
      <c r="I162" s="35"/>
    </row>
    <row r="163" spans="1:9" s="12" customFormat="1" ht="11.25" customHeight="1" x14ac:dyDescent="0.2">
      <c r="A163" s="26"/>
      <c r="B163" s="27"/>
      <c r="C163" s="29" t="s">
        <v>44</v>
      </c>
      <c r="D163" s="29"/>
      <c r="E163" s="27" t="s">
        <v>45</v>
      </c>
      <c r="F163" s="35"/>
      <c r="G163" s="35">
        <v>0</v>
      </c>
      <c r="H163" s="35"/>
      <c r="I163" s="35"/>
    </row>
    <row r="164" spans="1:9" s="12" customFormat="1" ht="11.25" customHeight="1" x14ac:dyDescent="0.2">
      <c r="A164" s="26"/>
      <c r="B164" s="27"/>
      <c r="C164" s="29" t="s">
        <v>255</v>
      </c>
      <c r="D164" s="29"/>
      <c r="E164" s="27" t="s">
        <v>256</v>
      </c>
      <c r="F164" s="35"/>
      <c r="G164" s="35">
        <v>0</v>
      </c>
      <c r="H164" s="35"/>
      <c r="I164" s="35"/>
    </row>
    <row r="165" spans="1:9" s="12" customFormat="1" ht="11.25" customHeight="1" x14ac:dyDescent="0.2">
      <c r="A165" s="26"/>
      <c r="B165" s="27"/>
      <c r="C165" s="29" t="s">
        <v>46</v>
      </c>
      <c r="D165" s="29"/>
      <c r="E165" s="27" t="s">
        <v>47</v>
      </c>
      <c r="F165" s="35"/>
      <c r="G165" s="35">
        <v>0</v>
      </c>
      <c r="H165" s="35"/>
      <c r="I165" s="35"/>
    </row>
    <row r="166" spans="1:9" s="12" customFormat="1" ht="11.25" customHeight="1" x14ac:dyDescent="0.2">
      <c r="A166" s="26"/>
      <c r="B166" s="27"/>
      <c r="C166" s="27"/>
      <c r="D166" s="27"/>
      <c r="E166" s="27"/>
      <c r="F166" s="35"/>
      <c r="G166" s="35"/>
      <c r="H166" s="35"/>
      <c r="I166" s="35"/>
    </row>
    <row r="167" spans="1:9" s="12" customFormat="1" ht="11.25" customHeight="1" x14ac:dyDescent="0.2">
      <c r="A167" s="26"/>
      <c r="B167" s="33">
        <v>2.04</v>
      </c>
      <c r="C167" s="29" t="s">
        <v>48</v>
      </c>
      <c r="D167" s="29"/>
      <c r="E167" s="27"/>
      <c r="F167" s="35"/>
      <c r="G167" s="35"/>
      <c r="H167" s="35">
        <f>SUM(G169:G170)</f>
        <v>1000000</v>
      </c>
      <c r="I167" s="35"/>
    </row>
    <row r="168" spans="1:9" s="12" customFormat="1" ht="11.25" customHeight="1" x14ac:dyDescent="0.2">
      <c r="A168" s="26"/>
      <c r="B168" s="27"/>
      <c r="C168" s="27"/>
      <c r="D168" s="27"/>
      <c r="E168" s="27"/>
      <c r="F168" s="35"/>
      <c r="G168" s="35"/>
      <c r="H168" s="35"/>
      <c r="I168" s="35"/>
    </row>
    <row r="169" spans="1:9" s="12" customFormat="1" ht="11.25" customHeight="1" x14ac:dyDescent="0.2">
      <c r="A169" s="26"/>
      <c r="B169" s="27"/>
      <c r="C169" s="29" t="s">
        <v>49</v>
      </c>
      <c r="D169" s="29"/>
      <c r="E169" s="27" t="s">
        <v>50</v>
      </c>
      <c r="F169" s="35"/>
      <c r="G169" s="35">
        <v>100000</v>
      </c>
      <c r="H169" s="35"/>
      <c r="I169" s="35"/>
    </row>
    <row r="170" spans="1:9" s="12" customFormat="1" ht="11.25" customHeight="1" x14ac:dyDescent="0.2">
      <c r="A170" s="26"/>
      <c r="B170" s="27"/>
      <c r="C170" s="29" t="s">
        <v>51</v>
      </c>
      <c r="D170" s="29"/>
      <c r="E170" s="27" t="s">
        <v>52</v>
      </c>
      <c r="F170" s="35"/>
      <c r="G170" s="35">
        <v>900000</v>
      </c>
      <c r="H170" s="35"/>
      <c r="I170" s="35"/>
    </row>
    <row r="171" spans="1:9" s="12" customFormat="1" ht="11.25" customHeight="1" x14ac:dyDescent="0.2">
      <c r="A171" s="26"/>
      <c r="B171" s="27"/>
      <c r="C171" s="27"/>
      <c r="D171" s="27"/>
      <c r="E171" s="27"/>
      <c r="F171" s="35"/>
      <c r="G171" s="35"/>
      <c r="H171" s="35"/>
      <c r="I171" s="35"/>
    </row>
    <row r="172" spans="1:9" s="12" customFormat="1" ht="11.25" customHeight="1" x14ac:dyDescent="0.2">
      <c r="A172" s="26"/>
      <c r="B172" s="33">
        <v>2.99</v>
      </c>
      <c r="C172" s="29" t="s">
        <v>53</v>
      </c>
      <c r="D172" s="29"/>
      <c r="E172" s="27"/>
      <c r="F172" s="35"/>
      <c r="G172" s="35"/>
      <c r="H172" s="35">
        <f>SUM(G174:G181)</f>
        <v>11785000</v>
      </c>
      <c r="I172" s="35"/>
    </row>
    <row r="173" spans="1:9" s="12" customFormat="1" ht="11.25" customHeight="1" x14ac:dyDescent="0.2">
      <c r="A173" s="26"/>
      <c r="B173" s="27"/>
      <c r="C173" s="27"/>
      <c r="D173" s="27"/>
      <c r="E173" s="27"/>
      <c r="F173" s="35"/>
      <c r="G173" s="35"/>
      <c r="H173" s="35"/>
      <c r="I173" s="35"/>
    </row>
    <row r="174" spans="1:9" s="12" customFormat="1" ht="11.25" customHeight="1" x14ac:dyDescent="0.2">
      <c r="A174" s="26"/>
      <c r="B174" s="27"/>
      <c r="C174" s="29" t="s">
        <v>54</v>
      </c>
      <c r="D174" s="29"/>
      <c r="E174" s="27" t="s">
        <v>55</v>
      </c>
      <c r="F174" s="35"/>
      <c r="G174" s="35">
        <v>600000</v>
      </c>
      <c r="H174" s="35"/>
      <c r="I174" s="35"/>
    </row>
    <row r="175" spans="1:9" s="12" customFormat="1" ht="11.25" customHeight="1" x14ac:dyDescent="0.2">
      <c r="A175" s="26"/>
      <c r="B175" s="27"/>
      <c r="C175" s="29" t="s">
        <v>251</v>
      </c>
      <c r="D175" s="29"/>
      <c r="E175" s="27" t="s">
        <v>252</v>
      </c>
      <c r="F175" s="35"/>
      <c r="G175" s="35">
        <v>0</v>
      </c>
      <c r="H175" s="35"/>
      <c r="I175" s="35"/>
    </row>
    <row r="176" spans="1:9" s="12" customFormat="1" ht="11.25" customHeight="1" x14ac:dyDescent="0.2">
      <c r="A176" s="26"/>
      <c r="B176" s="27"/>
      <c r="C176" s="29" t="s">
        <v>56</v>
      </c>
      <c r="D176" s="29"/>
      <c r="E176" s="27" t="s">
        <v>57</v>
      </c>
      <c r="F176" s="35"/>
      <c r="G176" s="35">
        <v>2120000</v>
      </c>
      <c r="H176" s="35"/>
      <c r="I176" s="35"/>
    </row>
    <row r="177" spans="1:10" s="12" customFormat="1" ht="11.25" customHeight="1" x14ac:dyDescent="0.2">
      <c r="A177" s="26"/>
      <c r="B177" s="27"/>
      <c r="C177" s="29" t="s">
        <v>61</v>
      </c>
      <c r="D177" s="29"/>
      <c r="E177" s="27" t="s">
        <v>62</v>
      </c>
      <c r="F177" s="35"/>
      <c r="G177" s="35">
        <v>600000</v>
      </c>
      <c r="H177" s="35"/>
      <c r="I177" s="35"/>
    </row>
    <row r="178" spans="1:10" s="12" customFormat="1" ht="11.25" customHeight="1" x14ac:dyDescent="0.2">
      <c r="A178" s="26"/>
      <c r="B178" s="27"/>
      <c r="C178" s="29" t="s">
        <v>63</v>
      </c>
      <c r="D178" s="29"/>
      <c r="E178" s="27" t="s">
        <v>64</v>
      </c>
      <c r="F178" s="35"/>
      <c r="G178" s="35">
        <v>7365000</v>
      </c>
      <c r="H178" s="35"/>
      <c r="I178" s="35"/>
    </row>
    <row r="179" spans="1:10" s="12" customFormat="1" ht="11.25" customHeight="1" x14ac:dyDescent="0.2">
      <c r="A179" s="26"/>
      <c r="B179" s="27"/>
      <c r="C179" s="29" t="s">
        <v>233</v>
      </c>
      <c r="D179" s="29"/>
      <c r="E179" s="27" t="s">
        <v>234</v>
      </c>
      <c r="F179" s="35"/>
      <c r="G179" s="35">
        <v>300000</v>
      </c>
      <c r="H179" s="35"/>
      <c r="I179" s="35"/>
    </row>
    <row r="180" spans="1:10" s="12" customFormat="1" ht="11.25" customHeight="1" x14ac:dyDescent="0.2">
      <c r="A180" s="26"/>
      <c r="B180" s="27"/>
      <c r="C180" s="29" t="s">
        <v>65</v>
      </c>
      <c r="D180" s="29"/>
      <c r="E180" s="27" t="s">
        <v>66</v>
      </c>
      <c r="F180" s="35"/>
      <c r="G180" s="35">
        <v>300000</v>
      </c>
      <c r="H180" s="35"/>
      <c r="I180" s="35"/>
    </row>
    <row r="181" spans="1:10" s="12" customFormat="1" ht="11.25" customHeight="1" x14ac:dyDescent="0.2">
      <c r="A181" s="26"/>
      <c r="B181" s="27"/>
      <c r="C181" s="29" t="s">
        <v>67</v>
      </c>
      <c r="D181" s="29"/>
      <c r="E181" s="27" t="s">
        <v>68</v>
      </c>
      <c r="F181" s="35"/>
      <c r="G181" s="35">
        <v>500000</v>
      </c>
      <c r="H181" s="35"/>
      <c r="I181" s="35"/>
    </row>
    <row r="182" spans="1:10" s="12" customFormat="1" ht="11.25" customHeight="1" x14ac:dyDescent="0.2">
      <c r="A182" s="26"/>
      <c r="B182" s="29"/>
      <c r="C182" s="29"/>
      <c r="D182" s="29"/>
      <c r="E182" s="27"/>
      <c r="F182" s="35"/>
      <c r="G182" s="35"/>
      <c r="H182" s="35"/>
      <c r="I182" s="35"/>
    </row>
    <row r="183" spans="1:10" s="12" customFormat="1" ht="15.75" customHeight="1" x14ac:dyDescent="0.2">
      <c r="A183" s="22">
        <v>5</v>
      </c>
      <c r="B183" s="23" t="s">
        <v>69</v>
      </c>
      <c r="C183" s="24"/>
      <c r="D183" s="24"/>
      <c r="E183" s="24"/>
      <c r="F183" s="36"/>
      <c r="G183" s="36"/>
      <c r="H183" s="36"/>
      <c r="I183" s="37">
        <f>+H185+H197</f>
        <v>17212500</v>
      </c>
      <c r="J183" s="16"/>
    </row>
    <row r="184" spans="1:10" s="12" customFormat="1" ht="11.25" customHeight="1" x14ac:dyDescent="0.2">
      <c r="A184" s="26"/>
      <c r="B184" s="27"/>
      <c r="C184" s="33"/>
      <c r="D184" s="33"/>
      <c r="E184" s="27"/>
      <c r="F184" s="35"/>
      <c r="G184" s="35"/>
      <c r="H184" s="35"/>
      <c r="I184" s="35"/>
    </row>
    <row r="185" spans="1:10" s="12" customFormat="1" ht="11.25" customHeight="1" x14ac:dyDescent="0.2">
      <c r="A185" s="26"/>
      <c r="B185" s="33">
        <v>5.01</v>
      </c>
      <c r="C185" s="29" t="s">
        <v>70</v>
      </c>
      <c r="D185" s="29"/>
      <c r="E185" s="27"/>
      <c r="F185" s="35"/>
      <c r="G185" s="35"/>
      <c r="H185" s="35">
        <f>SUM(G187:G195)</f>
        <v>2400000</v>
      </c>
      <c r="I185" s="35"/>
    </row>
    <row r="186" spans="1:10" s="12" customFormat="1" ht="11.25" customHeight="1" x14ac:dyDescent="0.2">
      <c r="A186" s="26"/>
      <c r="B186" s="27"/>
      <c r="C186" s="29"/>
      <c r="D186" s="29"/>
      <c r="E186" s="27"/>
      <c r="F186" s="67"/>
      <c r="G186" s="67"/>
      <c r="H186" s="35"/>
      <c r="I186" s="35"/>
    </row>
    <row r="187" spans="1:10" s="12" customFormat="1" ht="11.25" customHeight="1" x14ac:dyDescent="0.2">
      <c r="A187" s="26"/>
      <c r="B187" s="27"/>
      <c r="C187" s="29" t="s">
        <v>71</v>
      </c>
      <c r="D187" s="29"/>
      <c r="E187" s="27" t="s">
        <v>72</v>
      </c>
      <c r="F187" s="67"/>
      <c r="G187" s="67">
        <v>0</v>
      </c>
      <c r="H187" s="35"/>
      <c r="I187" s="35"/>
    </row>
    <row r="188" spans="1:10" s="12" customFormat="1" ht="11.25" customHeight="1" x14ac:dyDescent="0.2">
      <c r="A188" s="26"/>
      <c r="B188" s="27"/>
      <c r="C188" s="29" t="s">
        <v>219</v>
      </c>
      <c r="D188" s="29"/>
      <c r="E188" s="27" t="s">
        <v>227</v>
      </c>
      <c r="F188" s="67"/>
      <c r="G188" s="67">
        <v>1350000</v>
      </c>
      <c r="H188" s="35"/>
      <c r="I188" s="35"/>
    </row>
    <row r="189" spans="1:10" s="12" customFormat="1" ht="11.25" customHeight="1" x14ac:dyDescent="0.2">
      <c r="A189" s="26"/>
      <c r="B189" s="27"/>
      <c r="C189" s="29" t="s">
        <v>73</v>
      </c>
      <c r="D189" s="29"/>
      <c r="E189" s="27" t="s">
        <v>74</v>
      </c>
      <c r="F189" s="67"/>
      <c r="G189" s="67">
        <v>0</v>
      </c>
      <c r="H189" s="35"/>
      <c r="I189" s="35"/>
    </row>
    <row r="190" spans="1:10" s="12" customFormat="1" ht="11.25" customHeight="1" x14ac:dyDescent="0.2">
      <c r="A190" s="26"/>
      <c r="B190" s="27"/>
      <c r="C190" s="29" t="s">
        <v>75</v>
      </c>
      <c r="D190" s="29"/>
      <c r="E190" s="27" t="s">
        <v>76</v>
      </c>
      <c r="F190" s="67"/>
      <c r="G190" s="67">
        <f>+F191+F192</f>
        <v>0</v>
      </c>
      <c r="H190" s="35"/>
      <c r="I190" s="35"/>
    </row>
    <row r="191" spans="1:10" s="12" customFormat="1" ht="11.25" customHeight="1" x14ac:dyDescent="0.2">
      <c r="A191" s="26"/>
      <c r="B191" s="27"/>
      <c r="C191" s="27" t="s">
        <v>75</v>
      </c>
      <c r="D191" s="30">
        <v>1</v>
      </c>
      <c r="E191" s="27" t="s">
        <v>77</v>
      </c>
      <c r="F191" s="67">
        <v>0</v>
      </c>
      <c r="G191" s="67"/>
      <c r="H191" s="35"/>
      <c r="I191" s="35"/>
    </row>
    <row r="192" spans="1:10" s="12" customFormat="1" ht="11.25" customHeight="1" x14ac:dyDescent="0.2">
      <c r="A192" s="26"/>
      <c r="B192" s="27"/>
      <c r="C192" s="27" t="s">
        <v>75</v>
      </c>
      <c r="D192" s="30">
        <v>2</v>
      </c>
      <c r="E192" s="27" t="s">
        <v>78</v>
      </c>
      <c r="F192" s="67">
        <v>0</v>
      </c>
      <c r="G192" s="67"/>
      <c r="H192" s="35"/>
      <c r="I192" s="35"/>
    </row>
    <row r="193" spans="1:9" s="12" customFormat="1" ht="11.25" customHeight="1" x14ac:dyDescent="0.2">
      <c r="A193" s="26"/>
      <c r="B193" s="27"/>
      <c r="C193" s="29" t="s">
        <v>79</v>
      </c>
      <c r="D193" s="29"/>
      <c r="E193" s="27" t="s">
        <v>80</v>
      </c>
      <c r="F193" s="67"/>
      <c r="G193" s="67">
        <v>0</v>
      </c>
      <c r="H193" s="35"/>
      <c r="I193" s="35"/>
    </row>
    <row r="194" spans="1:9" s="12" customFormat="1" ht="11.25" customHeight="1" x14ac:dyDescent="0.2">
      <c r="A194" s="26"/>
      <c r="B194" s="27"/>
      <c r="C194" s="29" t="s">
        <v>81</v>
      </c>
      <c r="D194" s="29"/>
      <c r="E194" s="27" t="s">
        <v>82</v>
      </c>
      <c r="F194" s="67"/>
      <c r="G194" s="67">
        <v>1050000</v>
      </c>
      <c r="H194" s="35"/>
      <c r="I194" s="35"/>
    </row>
    <row r="195" spans="1:9" s="12" customFormat="1" ht="11.25" customHeight="1" x14ac:dyDescent="0.2">
      <c r="A195" s="26"/>
      <c r="B195" s="27"/>
      <c r="C195" s="29" t="s">
        <v>83</v>
      </c>
      <c r="D195" s="29"/>
      <c r="E195" s="27" t="s">
        <v>84</v>
      </c>
      <c r="F195" s="67"/>
      <c r="G195" s="67">
        <v>0</v>
      </c>
      <c r="H195" s="35"/>
      <c r="I195" s="35"/>
    </row>
    <row r="196" spans="1:9" s="12" customFormat="1" ht="11.25" customHeight="1" x14ac:dyDescent="0.2">
      <c r="A196" s="26"/>
      <c r="B196" s="27"/>
      <c r="C196" s="29"/>
      <c r="D196" s="29"/>
      <c r="E196" s="27"/>
      <c r="F196" s="35"/>
      <c r="G196" s="35"/>
      <c r="H196" s="35"/>
      <c r="I196" s="35"/>
    </row>
    <row r="197" spans="1:9" s="12" customFormat="1" ht="11.25" customHeight="1" x14ac:dyDescent="0.2">
      <c r="A197" s="26"/>
      <c r="B197" s="33">
        <v>5.99</v>
      </c>
      <c r="C197" s="29" t="s">
        <v>259</v>
      </c>
      <c r="D197" s="29"/>
      <c r="E197" s="27"/>
      <c r="F197" s="35"/>
      <c r="G197" s="35"/>
      <c r="H197" s="35">
        <f>+G199</f>
        <v>14812500</v>
      </c>
      <c r="I197" s="35"/>
    </row>
    <row r="198" spans="1:9" s="12" customFormat="1" ht="11.25" customHeight="1" x14ac:dyDescent="0.2">
      <c r="A198" s="26"/>
      <c r="B198" s="27"/>
      <c r="C198" s="29"/>
      <c r="D198" s="29"/>
      <c r="E198" s="27"/>
      <c r="F198" s="35"/>
      <c r="G198" s="35"/>
      <c r="H198" s="35"/>
      <c r="I198" s="35"/>
    </row>
    <row r="199" spans="1:9" s="12" customFormat="1" ht="11.25" customHeight="1" x14ac:dyDescent="0.2">
      <c r="A199" s="26"/>
      <c r="B199" s="27"/>
      <c r="C199" s="29" t="s">
        <v>260</v>
      </c>
      <c r="D199" s="29"/>
      <c r="E199" s="27" t="s">
        <v>261</v>
      </c>
      <c r="F199" s="35"/>
      <c r="G199" s="35">
        <f>+F200</f>
        <v>14812500</v>
      </c>
      <c r="H199" s="35"/>
      <c r="I199" s="35"/>
    </row>
    <row r="200" spans="1:9" s="12" customFormat="1" ht="11.25" customHeight="1" x14ac:dyDescent="0.2">
      <c r="A200" s="26"/>
      <c r="B200" s="27"/>
      <c r="C200" s="27" t="s">
        <v>260</v>
      </c>
      <c r="D200" s="30">
        <v>1</v>
      </c>
      <c r="E200" s="27" t="s">
        <v>78</v>
      </c>
      <c r="F200" s="35">
        <f>14812500</f>
        <v>14812500</v>
      </c>
      <c r="G200" s="35"/>
      <c r="H200" s="35"/>
      <c r="I200" s="35"/>
    </row>
    <row r="201" spans="1:9" s="12" customFormat="1" ht="11.25" customHeight="1" x14ac:dyDescent="0.2">
      <c r="A201" s="26"/>
      <c r="B201" s="27"/>
      <c r="C201" s="27"/>
      <c r="D201" s="27"/>
      <c r="E201" s="27"/>
      <c r="F201" s="35"/>
      <c r="G201" s="35"/>
      <c r="H201" s="35"/>
      <c r="I201" s="35"/>
    </row>
    <row r="202" spans="1:9" s="12" customFormat="1" ht="15.75" customHeight="1" x14ac:dyDescent="0.2">
      <c r="A202" s="22">
        <v>6</v>
      </c>
      <c r="B202" s="23" t="s">
        <v>85</v>
      </c>
      <c r="C202" s="23"/>
      <c r="D202" s="23"/>
      <c r="E202" s="24"/>
      <c r="F202" s="36"/>
      <c r="G202" s="36"/>
      <c r="H202" s="36"/>
      <c r="I202" s="37">
        <f>+H204+H210+H219+H216</f>
        <v>127875000</v>
      </c>
    </row>
    <row r="203" spans="1:9" s="12" customFormat="1" ht="11.25" customHeight="1" x14ac:dyDescent="0.2">
      <c r="A203" s="26"/>
      <c r="B203" s="27"/>
      <c r="C203" s="27"/>
      <c r="D203" s="27"/>
      <c r="E203" s="27"/>
      <c r="F203" s="35"/>
      <c r="G203" s="35"/>
      <c r="H203" s="35"/>
      <c r="I203" s="35"/>
    </row>
    <row r="204" spans="1:9" s="12" customFormat="1" ht="11.25" customHeight="1" x14ac:dyDescent="0.2">
      <c r="A204" s="26"/>
      <c r="B204" s="33">
        <v>6.02</v>
      </c>
      <c r="C204" s="29" t="s">
        <v>86</v>
      </c>
      <c r="D204" s="29"/>
      <c r="E204" s="27"/>
      <c r="F204" s="35"/>
      <c r="G204" s="35"/>
      <c r="H204" s="35">
        <f>+G206+G208</f>
        <v>6500000</v>
      </c>
      <c r="I204" s="35"/>
    </row>
    <row r="205" spans="1:9" s="12" customFormat="1" ht="11.25" customHeight="1" x14ac:dyDescent="0.2">
      <c r="A205" s="26"/>
      <c r="B205" s="27"/>
      <c r="C205" s="27"/>
      <c r="D205" s="27"/>
      <c r="E205" s="27"/>
      <c r="F205" s="35"/>
      <c r="G205" s="35"/>
      <c r="H205" s="35"/>
      <c r="I205" s="35"/>
    </row>
    <row r="206" spans="1:9" s="12" customFormat="1" ht="11.25" customHeight="1" x14ac:dyDescent="0.2">
      <c r="A206" s="26"/>
      <c r="B206" s="27"/>
      <c r="C206" s="29" t="s">
        <v>87</v>
      </c>
      <c r="D206" s="29"/>
      <c r="E206" s="27" t="s">
        <v>88</v>
      </c>
      <c r="F206" s="35"/>
      <c r="G206" s="35">
        <f>+F207</f>
        <v>3000000</v>
      </c>
      <c r="H206" s="35"/>
      <c r="I206" s="35"/>
    </row>
    <row r="207" spans="1:9" s="12" customFormat="1" ht="11.25" customHeight="1" x14ac:dyDescent="0.2">
      <c r="A207" s="26"/>
      <c r="B207" s="27"/>
      <c r="C207" s="27" t="s">
        <v>87</v>
      </c>
      <c r="D207" s="30">
        <v>1</v>
      </c>
      <c r="E207" s="27" t="s">
        <v>89</v>
      </c>
      <c r="F207" s="35">
        <v>3000000</v>
      </c>
      <c r="G207" s="35"/>
      <c r="H207" s="35"/>
      <c r="I207" s="35"/>
    </row>
    <row r="208" spans="1:9" s="12" customFormat="1" ht="11.25" customHeight="1" x14ac:dyDescent="0.2">
      <c r="A208" s="26"/>
      <c r="B208" s="27"/>
      <c r="C208" s="29" t="s">
        <v>265</v>
      </c>
      <c r="D208" s="29"/>
      <c r="E208" s="27" t="s">
        <v>266</v>
      </c>
      <c r="F208" s="35"/>
      <c r="G208" s="35">
        <v>3500000</v>
      </c>
      <c r="H208" s="35"/>
      <c r="I208" s="35"/>
    </row>
    <row r="209" spans="1:9" ht="11.25" customHeight="1" x14ac:dyDescent="0.2">
      <c r="A209" s="32"/>
      <c r="B209" s="27"/>
      <c r="C209" s="27"/>
      <c r="D209" s="27"/>
      <c r="E209" s="27"/>
      <c r="F209" s="35"/>
      <c r="G209" s="35"/>
      <c r="H209" s="35"/>
      <c r="I209" s="35"/>
    </row>
    <row r="210" spans="1:9" ht="11.25" customHeight="1" x14ac:dyDescent="0.2">
      <c r="A210" s="26"/>
      <c r="B210" s="33">
        <v>6.03</v>
      </c>
      <c r="C210" s="29" t="s">
        <v>90</v>
      </c>
      <c r="D210" s="29"/>
      <c r="E210" s="27"/>
      <c r="F210" s="35"/>
      <c r="G210" s="35"/>
      <c r="H210" s="35">
        <f>+G212+G214</f>
        <v>55000000</v>
      </c>
      <c r="I210" s="35"/>
    </row>
    <row r="211" spans="1:9" ht="11.25" customHeight="1" x14ac:dyDescent="0.2">
      <c r="A211" s="26"/>
      <c r="B211" s="27"/>
      <c r="C211" s="27"/>
      <c r="D211" s="27"/>
      <c r="E211" s="27"/>
      <c r="F211" s="35"/>
      <c r="G211" s="35"/>
      <c r="H211" s="35"/>
      <c r="I211" s="35"/>
    </row>
    <row r="212" spans="1:9" ht="11.25" customHeight="1" x14ac:dyDescent="0.2">
      <c r="A212" s="26"/>
      <c r="B212" s="27"/>
      <c r="C212" s="29" t="s">
        <v>91</v>
      </c>
      <c r="D212" s="29"/>
      <c r="E212" s="27" t="s">
        <v>109</v>
      </c>
      <c r="F212" s="35"/>
      <c r="G212" s="35">
        <f>+F213</f>
        <v>35000000</v>
      </c>
      <c r="H212" s="35"/>
      <c r="I212" s="35"/>
    </row>
    <row r="213" spans="1:9" ht="11.25" customHeight="1" x14ac:dyDescent="0.2">
      <c r="A213" s="26"/>
      <c r="B213" s="27"/>
      <c r="C213" s="27" t="s">
        <v>91</v>
      </c>
      <c r="D213" s="30">
        <v>4</v>
      </c>
      <c r="E213" s="27" t="s">
        <v>92</v>
      </c>
      <c r="F213" s="35">
        <v>35000000</v>
      </c>
      <c r="G213" s="35"/>
      <c r="H213" s="35"/>
      <c r="I213" s="35"/>
    </row>
    <row r="214" spans="1:9" ht="11.25" customHeight="1" x14ac:dyDescent="0.2">
      <c r="A214" s="26"/>
      <c r="B214" s="27"/>
      <c r="C214" s="29" t="s">
        <v>93</v>
      </c>
      <c r="D214" s="29"/>
      <c r="E214" s="27" t="s">
        <v>94</v>
      </c>
      <c r="F214" s="35"/>
      <c r="G214" s="35">
        <v>20000000</v>
      </c>
      <c r="H214" s="35"/>
      <c r="I214" s="35"/>
    </row>
    <row r="215" spans="1:9" ht="11.25" customHeight="1" x14ac:dyDescent="0.2">
      <c r="A215" s="26"/>
      <c r="B215" s="27"/>
      <c r="C215" s="29"/>
      <c r="D215" s="29"/>
      <c r="E215" s="27"/>
      <c r="F215" s="35"/>
      <c r="G215" s="35"/>
      <c r="H215" s="35"/>
      <c r="I215" s="35"/>
    </row>
    <row r="216" spans="1:9" ht="11.25" customHeight="1" x14ac:dyDescent="0.2">
      <c r="A216" s="26"/>
      <c r="B216" s="29" t="s">
        <v>235</v>
      </c>
      <c r="C216" s="29" t="s">
        <v>237</v>
      </c>
      <c r="D216" s="29"/>
      <c r="E216" s="27"/>
      <c r="F216" s="35"/>
      <c r="G216" s="35"/>
      <c r="H216" s="35">
        <f>+G217</f>
        <v>44000000</v>
      </c>
      <c r="I216" s="35"/>
    </row>
    <row r="217" spans="1:9" ht="11.25" customHeight="1" x14ac:dyDescent="0.2">
      <c r="A217" s="26"/>
      <c r="B217" s="27"/>
      <c r="C217" s="29" t="s">
        <v>238</v>
      </c>
      <c r="D217" s="29"/>
      <c r="E217" s="27" t="s">
        <v>239</v>
      </c>
      <c r="F217" s="35"/>
      <c r="G217" s="35">
        <v>44000000</v>
      </c>
      <c r="H217" s="35"/>
      <c r="I217" s="35"/>
    </row>
    <row r="218" spans="1:9" ht="11.25" customHeight="1" x14ac:dyDescent="0.2">
      <c r="A218" s="26"/>
      <c r="B218" s="27"/>
      <c r="C218" s="27"/>
      <c r="D218" s="27"/>
      <c r="E218" s="27"/>
      <c r="F218" s="35"/>
      <c r="G218" s="35"/>
      <c r="H218" s="35"/>
      <c r="I218" s="35"/>
    </row>
    <row r="219" spans="1:9" ht="11.25" customHeight="1" x14ac:dyDescent="0.2">
      <c r="A219" s="26"/>
      <c r="B219" s="33" t="s">
        <v>236</v>
      </c>
      <c r="C219" s="29" t="s">
        <v>95</v>
      </c>
      <c r="D219" s="29"/>
      <c r="E219" s="27"/>
      <c r="F219" s="35"/>
      <c r="G219" s="35"/>
      <c r="H219" s="35">
        <f>+G221</f>
        <v>22375000</v>
      </c>
      <c r="I219" s="35"/>
    </row>
    <row r="220" spans="1:9" ht="11.25" customHeight="1" x14ac:dyDescent="0.2">
      <c r="A220" s="26"/>
      <c r="B220" s="27"/>
      <c r="C220" s="29"/>
      <c r="D220" s="29"/>
      <c r="E220" s="27"/>
      <c r="F220" s="35"/>
      <c r="G220" s="35"/>
      <c r="H220" s="35"/>
      <c r="I220" s="35"/>
    </row>
    <row r="221" spans="1:9" ht="11.25" customHeight="1" x14ac:dyDescent="0.2">
      <c r="A221" s="26"/>
      <c r="B221" s="27"/>
      <c r="C221" s="29" t="s">
        <v>96</v>
      </c>
      <c r="D221" s="29"/>
      <c r="E221" s="27" t="s">
        <v>97</v>
      </c>
      <c r="F221" s="35"/>
      <c r="G221" s="35">
        <f>SUM(F222:F227)</f>
        <v>22375000</v>
      </c>
      <c r="H221" s="35"/>
      <c r="I221" s="35"/>
    </row>
    <row r="222" spans="1:9" ht="11.25" customHeight="1" x14ac:dyDescent="0.2">
      <c r="A222" s="26"/>
      <c r="B222" s="27"/>
      <c r="C222" s="27" t="s">
        <v>96</v>
      </c>
      <c r="D222" s="30">
        <v>5</v>
      </c>
      <c r="E222" s="27" t="s">
        <v>99</v>
      </c>
      <c r="F222" s="35">
        <f>4687500</f>
        <v>4687500</v>
      </c>
      <c r="G222" s="35"/>
      <c r="H222" s="35"/>
      <c r="I222" s="35"/>
    </row>
    <row r="223" spans="1:9" ht="11.25" customHeight="1" x14ac:dyDescent="0.2">
      <c r="A223" s="26"/>
      <c r="B223" s="27"/>
      <c r="C223" s="27" t="s">
        <v>96</v>
      </c>
      <c r="D223" s="30">
        <v>6</v>
      </c>
      <c r="E223" s="27" t="s">
        <v>98</v>
      </c>
      <c r="F223" s="35">
        <f>4875000</f>
        <v>4875000</v>
      </c>
      <c r="G223" s="35"/>
      <c r="H223" s="35"/>
      <c r="I223" s="35"/>
    </row>
    <row r="224" spans="1:9" ht="11.25" customHeight="1" x14ac:dyDescent="0.2">
      <c r="A224" s="26"/>
      <c r="B224" s="27"/>
      <c r="C224" s="27" t="s">
        <v>96</v>
      </c>
      <c r="D224" s="30">
        <v>7</v>
      </c>
      <c r="E224" s="27" t="s">
        <v>262</v>
      </c>
      <c r="F224" s="35">
        <f>7500000</f>
        <v>7500000</v>
      </c>
      <c r="G224" s="35"/>
      <c r="H224" s="35"/>
      <c r="I224" s="35"/>
    </row>
    <row r="225" spans="1:9" ht="11.25" customHeight="1" x14ac:dyDescent="0.2">
      <c r="A225" s="26"/>
      <c r="B225" s="27"/>
      <c r="C225" s="27" t="s">
        <v>96</v>
      </c>
      <c r="D225" s="30">
        <v>8</v>
      </c>
      <c r="E225" s="27" t="s">
        <v>100</v>
      </c>
      <c r="F225" s="35">
        <f>5000000</f>
        <v>5000000</v>
      </c>
      <c r="G225" s="35"/>
      <c r="H225" s="35"/>
      <c r="I225" s="35"/>
    </row>
    <row r="226" spans="1:9" ht="11.25" customHeight="1" x14ac:dyDescent="0.2">
      <c r="A226" s="26"/>
      <c r="B226" s="27"/>
      <c r="C226" s="27" t="s">
        <v>96</v>
      </c>
      <c r="D226" s="30">
        <v>9</v>
      </c>
      <c r="E226" s="27" t="s">
        <v>273</v>
      </c>
      <c r="F226" s="35">
        <f>312500</f>
        <v>312500</v>
      </c>
      <c r="G226" s="35"/>
      <c r="H226" s="35"/>
      <c r="I226" s="35"/>
    </row>
    <row r="227" spans="1:9" ht="11.25" customHeight="1" x14ac:dyDescent="0.2">
      <c r="A227" s="32"/>
      <c r="B227" s="27"/>
      <c r="C227" s="27"/>
      <c r="D227" s="27"/>
      <c r="E227" s="27"/>
      <c r="F227" s="35"/>
      <c r="G227" s="35"/>
      <c r="H227" s="35"/>
      <c r="I227" s="35"/>
    </row>
    <row r="228" spans="1:9" ht="18" customHeight="1" x14ac:dyDescent="0.2">
      <c r="A228" s="19"/>
      <c r="B228" s="20"/>
      <c r="C228" s="20"/>
      <c r="D228" s="20"/>
      <c r="E228" s="21" t="s">
        <v>106</v>
      </c>
      <c r="F228" s="39"/>
      <c r="G228" s="39"/>
      <c r="H228" s="39"/>
      <c r="I228" s="40">
        <f>SUM(I6:I227)</f>
        <v>5453075008.04</v>
      </c>
    </row>
    <row r="230" spans="1:9" x14ac:dyDescent="0.2">
      <c r="I230" s="68"/>
    </row>
    <row r="232" spans="1:9" x14ac:dyDescent="0.2">
      <c r="I232" s="69"/>
    </row>
  </sheetData>
  <mergeCells count="5">
    <mergeCell ref="C40:E40"/>
    <mergeCell ref="A6:D6"/>
    <mergeCell ref="A2:I2"/>
    <mergeCell ref="A3:I3"/>
    <mergeCell ref="A4:I4"/>
  </mergeCells>
  <phoneticPr fontId="0" type="noConversion"/>
  <printOptions horizontalCentered="1"/>
  <pageMargins left="0.31496062992125984" right="0.23622047244094491" top="0.35433070866141736" bottom="0.43307086614173229" header="0.19685039370078741" footer="0.19685039370078741"/>
  <pageSetup scale="75" firstPageNumber="51" orientation="portrait" useFirstPageNumber="1" r:id="rId1"/>
  <headerFooter>
    <oddFooter>&amp;R&amp;12&amp;P</oddFooter>
  </headerFooter>
  <ignoredErrors>
    <ignoredError sqref="B216:B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2:I27"/>
  <sheetViews>
    <sheetView showGridLines="0" topLeftCell="A13" zoomScale="110" zoomScaleNormal="110" workbookViewId="0">
      <selection activeCell="G19" sqref="G19:H28"/>
    </sheetView>
  </sheetViews>
  <sheetFormatPr baseColWidth="10" defaultColWidth="11.42578125" defaultRowHeight="10.5" x14ac:dyDescent="0.2"/>
  <cols>
    <col min="1" max="1" width="1.42578125" style="1" customWidth="1"/>
    <col min="2" max="2" width="7.140625" style="2" customWidth="1"/>
    <col min="3" max="3" width="25.42578125" style="3" customWidth="1"/>
    <col min="4" max="4" width="8.140625" style="3" bestFit="1" customWidth="1"/>
    <col min="5" max="5" width="25.140625" style="4" customWidth="1"/>
    <col min="6" max="6" width="24" style="4" customWidth="1"/>
    <col min="7" max="7" width="20.140625" style="4" customWidth="1"/>
    <col min="8" max="8" width="17.5703125" style="4" customWidth="1"/>
    <col min="9" max="9" width="11.85546875" style="3" customWidth="1"/>
    <col min="10" max="16384" width="11.42578125" style="3"/>
  </cols>
  <sheetData>
    <row r="2" spans="1:9" s="13" customFormat="1" ht="15.75" x14ac:dyDescent="0.25">
      <c r="H2" s="103"/>
      <c r="I2" s="103"/>
    </row>
    <row r="3" spans="1:9" s="13" customFormat="1" ht="18" x14ac:dyDescent="0.25">
      <c r="B3" s="105" t="s">
        <v>264</v>
      </c>
      <c r="C3" s="105"/>
      <c r="D3" s="105"/>
      <c r="E3" s="105"/>
      <c r="F3" s="105"/>
      <c r="G3" s="105"/>
      <c r="H3" s="105"/>
    </row>
    <row r="4" spans="1:9" s="13" customFormat="1" ht="23.25" customHeight="1" x14ac:dyDescent="0.2">
      <c r="B4" s="106" t="s">
        <v>282</v>
      </c>
      <c r="C4" s="107"/>
      <c r="D4" s="107"/>
      <c r="E4" s="107"/>
      <c r="F4" s="107"/>
      <c r="G4" s="107"/>
      <c r="H4" s="107"/>
    </row>
    <row r="5" spans="1:9" s="13" customFormat="1" ht="15" x14ac:dyDescent="0.2">
      <c r="B5" s="98" t="s">
        <v>228</v>
      </c>
      <c r="C5" s="98"/>
      <c r="D5" s="98"/>
      <c r="E5" s="98"/>
      <c r="F5" s="98"/>
      <c r="G5" s="98"/>
      <c r="H5" s="98"/>
    </row>
    <row r="7" spans="1:9" ht="33" customHeight="1" x14ac:dyDescent="0.2">
      <c r="A7" s="14"/>
      <c r="B7" s="43"/>
      <c r="C7" s="108" t="s">
        <v>281</v>
      </c>
      <c r="D7" s="108"/>
      <c r="E7" s="109" t="s">
        <v>229</v>
      </c>
      <c r="F7" s="110"/>
      <c r="G7" s="110"/>
      <c r="H7" s="110"/>
      <c r="I7" s="111"/>
    </row>
    <row r="8" spans="1:9" s="5" customFormat="1" ht="39.75" customHeight="1" x14ac:dyDescent="0.2">
      <c r="A8" s="14"/>
      <c r="B8" s="44" t="s">
        <v>113</v>
      </c>
      <c r="C8" s="45" t="s">
        <v>114</v>
      </c>
      <c r="D8" s="45" t="s">
        <v>115</v>
      </c>
      <c r="E8" s="46" t="s">
        <v>116</v>
      </c>
      <c r="F8" s="46" t="s">
        <v>117</v>
      </c>
      <c r="G8" s="46" t="s">
        <v>118</v>
      </c>
      <c r="H8" s="45" t="s">
        <v>119</v>
      </c>
      <c r="I8" s="112" t="s">
        <v>101</v>
      </c>
    </row>
    <row r="9" spans="1:9" s="5" customFormat="1" ht="15" customHeight="1" x14ac:dyDescent="0.2">
      <c r="A9" s="14"/>
      <c r="B9" s="47"/>
      <c r="C9" s="47" t="s">
        <v>102</v>
      </c>
      <c r="D9" s="45"/>
      <c r="E9" s="46"/>
      <c r="F9" s="46"/>
      <c r="G9" s="46"/>
      <c r="H9" s="46"/>
      <c r="I9" s="113"/>
    </row>
    <row r="10" spans="1:9" s="5" customFormat="1" ht="15" customHeight="1" x14ac:dyDescent="0.2">
      <c r="A10" s="14"/>
      <c r="B10" s="47"/>
      <c r="C10" s="47" t="s">
        <v>126</v>
      </c>
      <c r="D10" s="45"/>
      <c r="E10" s="46"/>
      <c r="F10" s="46"/>
      <c r="G10" s="46"/>
      <c r="H10" s="46"/>
      <c r="I10" s="114"/>
    </row>
    <row r="11" spans="1:9" s="5" customFormat="1" ht="30.75" customHeight="1" x14ac:dyDescent="0.2">
      <c r="A11" s="14"/>
      <c r="B11" s="48" t="s">
        <v>219</v>
      </c>
      <c r="C11" s="49" t="s">
        <v>220</v>
      </c>
      <c r="D11" s="50">
        <v>2</v>
      </c>
      <c r="E11" s="49" t="s">
        <v>276</v>
      </c>
      <c r="F11" s="49" t="s">
        <v>278</v>
      </c>
      <c r="G11" s="52" t="s">
        <v>279</v>
      </c>
      <c r="H11" s="49" t="s">
        <v>272</v>
      </c>
      <c r="I11" s="51">
        <f>1350000/1000</f>
        <v>1350</v>
      </c>
    </row>
    <row r="12" spans="1:9" s="5" customFormat="1" ht="36" x14ac:dyDescent="0.2">
      <c r="A12" s="14"/>
      <c r="B12" s="48" t="s">
        <v>81</v>
      </c>
      <c r="C12" s="49" t="s">
        <v>254</v>
      </c>
      <c r="D12" s="50">
        <v>3</v>
      </c>
      <c r="E12" s="49" t="s">
        <v>277</v>
      </c>
      <c r="F12" s="49" t="s">
        <v>285</v>
      </c>
      <c r="G12" s="52" t="s">
        <v>279</v>
      </c>
      <c r="H12" s="49" t="s">
        <v>272</v>
      </c>
      <c r="I12" s="51">
        <f>1050000/1000</f>
        <v>1050</v>
      </c>
    </row>
    <row r="13" spans="1:9" ht="37.5" customHeight="1" x14ac:dyDescent="0.2">
      <c r="A13" s="14"/>
      <c r="B13" s="48" t="s">
        <v>260</v>
      </c>
      <c r="C13" s="49" t="s">
        <v>275</v>
      </c>
      <c r="D13" s="50">
        <v>43</v>
      </c>
      <c r="E13" s="49" t="s">
        <v>280</v>
      </c>
      <c r="F13" s="49" t="s">
        <v>127</v>
      </c>
      <c r="G13" s="52" t="s">
        <v>128</v>
      </c>
      <c r="H13" s="49" t="s">
        <v>272</v>
      </c>
      <c r="I13" s="51">
        <f>(12500000*1.13)/1000</f>
        <v>14124.999999999998</v>
      </c>
    </row>
    <row r="14" spans="1:9" ht="36" x14ac:dyDescent="0.2">
      <c r="A14" s="14"/>
      <c r="B14" s="48" t="s">
        <v>260</v>
      </c>
      <c r="C14" s="49" t="s">
        <v>283</v>
      </c>
      <c r="D14" s="50">
        <v>1</v>
      </c>
      <c r="E14" s="49" t="s">
        <v>284</v>
      </c>
      <c r="F14" s="49" t="s">
        <v>127</v>
      </c>
      <c r="G14" s="52" t="s">
        <v>128</v>
      </c>
      <c r="H14" s="49" t="s">
        <v>272</v>
      </c>
      <c r="I14" s="51">
        <f>687500/1000</f>
        <v>687.5</v>
      </c>
    </row>
    <row r="15" spans="1:9" s="5" customFormat="1" ht="15" customHeight="1" x14ac:dyDescent="0.2">
      <c r="A15" s="14"/>
      <c r="B15" s="60"/>
      <c r="C15" s="60" t="s">
        <v>111</v>
      </c>
      <c r="D15" s="61"/>
      <c r="E15" s="61"/>
      <c r="F15" s="61"/>
      <c r="G15" s="61"/>
      <c r="H15" s="61"/>
      <c r="I15" s="62">
        <f>SUM(I11:I14)</f>
        <v>17212.5</v>
      </c>
    </row>
    <row r="16" spans="1:9" ht="15" customHeight="1" x14ac:dyDescent="0.2">
      <c r="A16" s="14"/>
      <c r="B16" s="48"/>
      <c r="C16" s="53"/>
      <c r="D16" s="54"/>
      <c r="E16" s="53"/>
      <c r="F16" s="52"/>
      <c r="G16" s="52"/>
      <c r="H16" s="52"/>
      <c r="I16" s="55"/>
    </row>
    <row r="17" spans="1:9" s="6" customFormat="1" ht="14.25" customHeight="1" x14ac:dyDescent="0.2">
      <c r="A17" s="14"/>
      <c r="B17" s="104" t="s">
        <v>111</v>
      </c>
      <c r="C17" s="104"/>
      <c r="D17" s="104"/>
      <c r="E17" s="63"/>
      <c r="F17" s="61"/>
      <c r="G17" s="61"/>
      <c r="H17" s="61"/>
      <c r="I17" s="62">
        <f>+I15</f>
        <v>17212.5</v>
      </c>
    </row>
    <row r="18" spans="1:9" s="7" customFormat="1" ht="13.5" customHeight="1" x14ac:dyDescent="0.2">
      <c r="A18" s="14"/>
      <c r="B18" s="56"/>
      <c r="C18" s="56"/>
      <c r="D18" s="56"/>
      <c r="E18" s="57"/>
      <c r="F18" s="58"/>
      <c r="G18" s="58"/>
      <c r="H18" s="58"/>
      <c r="I18" s="59"/>
    </row>
    <row r="19" spans="1:9" x14ac:dyDescent="0.2">
      <c r="G19" s="42"/>
      <c r="I19" s="41"/>
    </row>
    <row r="20" spans="1:9" x14ac:dyDescent="0.2">
      <c r="I20" s="41"/>
    </row>
    <row r="21" spans="1:9" x14ac:dyDescent="0.2">
      <c r="I21" s="41"/>
    </row>
    <row r="22" spans="1:9" x14ac:dyDescent="0.2">
      <c r="I22" s="17"/>
    </row>
    <row r="23" spans="1:9" x14ac:dyDescent="0.2">
      <c r="I23" s="18"/>
    </row>
    <row r="24" spans="1:9" x14ac:dyDescent="0.2">
      <c r="I24" s="18"/>
    </row>
    <row r="25" spans="1:9" x14ac:dyDescent="0.2">
      <c r="I25" s="18"/>
    </row>
    <row r="27" spans="1:9" x14ac:dyDescent="0.2">
      <c r="I27" s="3" t="s">
        <v>166</v>
      </c>
    </row>
  </sheetData>
  <mergeCells count="8">
    <mergeCell ref="H2:I2"/>
    <mergeCell ref="B17:D17"/>
    <mergeCell ref="B3:H3"/>
    <mergeCell ref="B4:H4"/>
    <mergeCell ref="B5:H5"/>
    <mergeCell ref="C7:D7"/>
    <mergeCell ref="E7:I7"/>
    <mergeCell ref="I8:I10"/>
  </mergeCells>
  <phoneticPr fontId="0" type="noConversion"/>
  <printOptions horizontalCentered="1"/>
  <pageMargins left="0.39370078740157483" right="0.31496062992125984" top="0.39370078740157483" bottom="0.35433070866141736" header="0" footer="0.23622047244094491"/>
  <pageSetup scale="85" firstPageNumber="65" orientation="landscape" useFirstPageNumber="1" r:id="rId1"/>
  <headerFooter alignWithMargins="0">
    <oddFooter>&amp;R&amp;12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B17D-7387-4AE1-8056-5E4C4B65F830}">
  <dimension ref="A2:F33"/>
  <sheetViews>
    <sheetView topLeftCell="A7" workbookViewId="0">
      <selection activeCell="B24" sqref="B24"/>
    </sheetView>
  </sheetViews>
  <sheetFormatPr baseColWidth="10" defaultRowHeight="12.75" x14ac:dyDescent="0.2"/>
  <cols>
    <col min="1" max="1" width="56.85546875" bestFit="1" customWidth="1"/>
    <col min="2" max="4" width="13.5703125" bestFit="1" customWidth="1"/>
    <col min="5" max="5" width="12" bestFit="1" customWidth="1"/>
    <col min="6" max="6" width="37.28515625" customWidth="1"/>
    <col min="7" max="7" width="39.140625" customWidth="1"/>
  </cols>
  <sheetData>
    <row r="2" spans="1:6" s="70" customFormat="1" ht="18.75" x14ac:dyDescent="0.3">
      <c r="A2" s="99" t="s">
        <v>271</v>
      </c>
      <c r="B2" s="99"/>
      <c r="C2" s="99"/>
      <c r="D2" s="99"/>
      <c r="E2" s="99"/>
      <c r="F2" s="99"/>
    </row>
    <row r="3" spans="1:6" s="70" customFormat="1" ht="18.75" x14ac:dyDescent="0.3">
      <c r="A3" s="99" t="s">
        <v>286</v>
      </c>
      <c r="B3" s="99"/>
      <c r="C3" s="99"/>
      <c r="D3" s="99"/>
      <c r="E3" s="99"/>
      <c r="F3" s="99"/>
    </row>
    <row r="4" spans="1:6" s="70" customFormat="1" ht="15.75" x14ac:dyDescent="0.25">
      <c r="A4" s="115" t="s">
        <v>287</v>
      </c>
      <c r="B4" s="115"/>
      <c r="C4" s="115"/>
      <c r="D4" s="115"/>
      <c r="E4" s="115"/>
      <c r="F4" s="115"/>
    </row>
    <row r="5" spans="1:6" ht="15" x14ac:dyDescent="0.2">
      <c r="A5" s="71"/>
      <c r="B5" s="71"/>
      <c r="C5" s="71"/>
      <c r="D5" s="71"/>
      <c r="E5" s="71"/>
      <c r="F5" s="71"/>
    </row>
    <row r="6" spans="1:6" ht="45" x14ac:dyDescent="0.2">
      <c r="A6" s="72" t="s">
        <v>120</v>
      </c>
      <c r="B6" s="72">
        <v>2021</v>
      </c>
      <c r="C6" s="72">
        <v>2022</v>
      </c>
      <c r="D6" s="72">
        <v>2023</v>
      </c>
      <c r="E6" s="72">
        <v>2024</v>
      </c>
      <c r="F6" s="72" t="s">
        <v>288</v>
      </c>
    </row>
    <row r="7" spans="1:6" ht="18" customHeight="1" x14ac:dyDescent="0.2">
      <c r="A7" s="91"/>
      <c r="B7" s="91"/>
      <c r="C7" s="91"/>
      <c r="D7" s="91"/>
      <c r="E7" s="91"/>
      <c r="F7" s="91" t="s">
        <v>269</v>
      </c>
    </row>
    <row r="8" spans="1:6" ht="15" x14ac:dyDescent="0.2">
      <c r="A8" s="73" t="s">
        <v>289</v>
      </c>
      <c r="B8" s="74">
        <f>SUM(B9:B12)</f>
        <v>5453.0750080399994</v>
      </c>
      <c r="C8" s="74">
        <f t="shared" ref="C8:E8" si="0">SUM(C9:C12)</f>
        <v>5482.2255830403992</v>
      </c>
      <c r="D8" s="74">
        <f t="shared" si="0"/>
        <v>5515.4496637908042</v>
      </c>
      <c r="E8" s="74">
        <f t="shared" si="0"/>
        <v>5596.6967199976652</v>
      </c>
      <c r="F8" s="75"/>
    </row>
    <row r="9" spans="1:6" ht="15" x14ac:dyDescent="0.2">
      <c r="A9" s="76" t="s">
        <v>290</v>
      </c>
      <c r="B9" s="74">
        <v>0</v>
      </c>
      <c r="C9" s="74">
        <v>0</v>
      </c>
      <c r="D9" s="74">
        <v>0</v>
      </c>
      <c r="E9" s="74">
        <v>0</v>
      </c>
      <c r="F9" s="77"/>
    </row>
    <row r="10" spans="1:6" ht="15" x14ac:dyDescent="0.2">
      <c r="A10" s="76" t="s">
        <v>291</v>
      </c>
      <c r="B10" s="74">
        <v>0</v>
      </c>
      <c r="C10" s="74">
        <v>0</v>
      </c>
      <c r="D10" s="74">
        <v>0</v>
      </c>
      <c r="E10" s="74">
        <v>0</v>
      </c>
      <c r="F10" s="77"/>
    </row>
    <row r="11" spans="1:6" ht="15" x14ac:dyDescent="0.2">
      <c r="A11" s="76" t="s">
        <v>292</v>
      </c>
      <c r="B11" s="74">
        <v>0</v>
      </c>
      <c r="C11" s="74">
        <v>0</v>
      </c>
      <c r="D11" s="74">
        <v>0</v>
      </c>
      <c r="E11" s="74">
        <v>0</v>
      </c>
      <c r="F11" s="77"/>
    </row>
    <row r="12" spans="1:6" ht="42.75" x14ac:dyDescent="0.2">
      <c r="A12" s="76" t="s">
        <v>221</v>
      </c>
      <c r="B12" s="74">
        <v>5453.0750080399994</v>
      </c>
      <c r="C12" s="74">
        <v>5482.2255830403992</v>
      </c>
      <c r="D12" s="74">
        <v>5515.4496637908042</v>
      </c>
      <c r="E12" s="74">
        <v>5596.6967199976652</v>
      </c>
      <c r="F12" s="77" t="s">
        <v>270</v>
      </c>
    </row>
    <row r="13" spans="1:6" ht="15" x14ac:dyDescent="0.2">
      <c r="A13" s="73" t="s">
        <v>293</v>
      </c>
      <c r="B13" s="74">
        <v>0</v>
      </c>
      <c r="C13" s="74">
        <v>0</v>
      </c>
      <c r="D13" s="74">
        <v>0</v>
      </c>
      <c r="E13" s="74">
        <v>0</v>
      </c>
      <c r="F13" s="77"/>
    </row>
    <row r="14" spans="1:6" ht="15" x14ac:dyDescent="0.2">
      <c r="A14" s="73" t="s">
        <v>294</v>
      </c>
      <c r="B14" s="74">
        <v>0</v>
      </c>
      <c r="C14" s="74">
        <v>0</v>
      </c>
      <c r="D14" s="74">
        <v>0</v>
      </c>
      <c r="E14" s="74">
        <v>0</v>
      </c>
      <c r="F14" s="75"/>
    </row>
    <row r="15" spans="1:6" ht="15" x14ac:dyDescent="0.25">
      <c r="A15" s="78" t="s">
        <v>106</v>
      </c>
      <c r="B15" s="79">
        <f>B8+B13+B14</f>
        <v>5453.0750080399994</v>
      </c>
      <c r="C15" s="79">
        <f>C8+C13+C14</f>
        <v>5482.2255830403992</v>
      </c>
      <c r="D15" s="79">
        <f>D8+D13+D14</f>
        <v>5515.4496637908042</v>
      </c>
      <c r="E15" s="79">
        <f>E8+E13+E14</f>
        <v>5596.6967199976652</v>
      </c>
      <c r="F15" s="78"/>
    </row>
    <row r="17" spans="1:6" ht="45" x14ac:dyDescent="0.2">
      <c r="A17" s="80" t="s">
        <v>295</v>
      </c>
      <c r="B17" s="72">
        <v>2021</v>
      </c>
      <c r="C17" s="72">
        <v>2022</v>
      </c>
      <c r="D17" s="72">
        <v>2023</v>
      </c>
      <c r="E17" s="72">
        <v>2024</v>
      </c>
      <c r="F17" s="72" t="s">
        <v>288</v>
      </c>
    </row>
    <row r="18" spans="1:6" ht="19.5" customHeight="1" x14ac:dyDescent="0.2">
      <c r="A18" s="91"/>
      <c r="B18" s="91"/>
      <c r="C18" s="91"/>
      <c r="D18" s="91"/>
      <c r="E18" s="91"/>
      <c r="F18" s="91" t="s">
        <v>269</v>
      </c>
    </row>
    <row r="19" spans="1:6" ht="15" x14ac:dyDescent="0.2">
      <c r="A19" s="73" t="s">
        <v>296</v>
      </c>
      <c r="B19" s="81">
        <f>+B20</f>
        <v>5435.8625080399997</v>
      </c>
      <c r="C19" s="81">
        <f t="shared" ref="C19:E19" si="1">+C20</f>
        <v>5468.0255830404003</v>
      </c>
      <c r="D19" s="81">
        <f t="shared" si="1"/>
        <v>5501.1496637908031</v>
      </c>
      <c r="E19" s="81">
        <f t="shared" si="1"/>
        <v>5582.2967199976665</v>
      </c>
      <c r="F19" s="82"/>
    </row>
    <row r="20" spans="1:6" ht="15" x14ac:dyDescent="0.25">
      <c r="A20" s="83" t="s">
        <v>297</v>
      </c>
      <c r="B20" s="81">
        <f>+B21+B22+B23</f>
        <v>5435.8625080399997</v>
      </c>
      <c r="C20" s="81">
        <f t="shared" ref="C20:E20" si="2">+C21+C22+C23</f>
        <v>5468.0255830404003</v>
      </c>
      <c r="D20" s="81">
        <f t="shared" si="2"/>
        <v>5501.1496637908031</v>
      </c>
      <c r="E20" s="81">
        <f t="shared" si="2"/>
        <v>5582.2967199976665</v>
      </c>
      <c r="F20" s="84"/>
    </row>
    <row r="21" spans="1:6" ht="14.25" x14ac:dyDescent="0.2">
      <c r="A21" s="85" t="s">
        <v>298</v>
      </c>
      <c r="B21" s="81">
        <v>3216.3075000399999</v>
      </c>
      <c r="C21" s="81">
        <v>3248.4705750404</v>
      </c>
      <c r="D21" s="81">
        <v>3280.955280790804</v>
      </c>
      <c r="E21" s="81">
        <v>3330.1696100026656</v>
      </c>
      <c r="F21" s="84"/>
    </row>
    <row r="22" spans="1:6" ht="14.25" x14ac:dyDescent="0.2">
      <c r="A22" s="85" t="s">
        <v>299</v>
      </c>
      <c r="B22" s="81">
        <v>2091.6800079999998</v>
      </c>
      <c r="C22" s="81">
        <v>2091.6800079999998</v>
      </c>
      <c r="D22" s="81">
        <v>2091.6800079999998</v>
      </c>
      <c r="E22" s="81">
        <v>2122.9701631200001</v>
      </c>
      <c r="F22" s="84"/>
    </row>
    <row r="23" spans="1:6" ht="14.25" x14ac:dyDescent="0.2">
      <c r="A23" s="85" t="s">
        <v>307</v>
      </c>
      <c r="B23" s="81">
        <v>127.875</v>
      </c>
      <c r="C23" s="81">
        <v>127.875</v>
      </c>
      <c r="D23" s="81">
        <v>128.51437499999997</v>
      </c>
      <c r="E23" s="81">
        <v>129.15694687499996</v>
      </c>
      <c r="F23" s="84"/>
    </row>
    <row r="24" spans="1:6" ht="15" x14ac:dyDescent="0.2">
      <c r="A24" s="73" t="s">
        <v>300</v>
      </c>
      <c r="B24" s="81">
        <v>17.212499999999999</v>
      </c>
      <c r="C24" s="81">
        <v>14.2</v>
      </c>
      <c r="D24" s="86">
        <v>14.3</v>
      </c>
      <c r="E24" s="81">
        <v>14.4</v>
      </c>
      <c r="F24" s="84"/>
    </row>
    <row r="25" spans="1:6" ht="15" x14ac:dyDescent="0.2">
      <c r="A25" s="73" t="s">
        <v>306</v>
      </c>
      <c r="B25" s="81"/>
      <c r="C25" s="81"/>
      <c r="D25" s="81"/>
      <c r="E25" s="81"/>
      <c r="F25" s="82"/>
    </row>
    <row r="26" spans="1:6" ht="15" x14ac:dyDescent="0.2">
      <c r="A26" s="87" t="s">
        <v>301</v>
      </c>
      <c r="B26" s="81">
        <v>0</v>
      </c>
      <c r="C26" s="81">
        <v>0</v>
      </c>
      <c r="D26" s="81">
        <v>0</v>
      </c>
      <c r="E26" s="81">
        <v>0</v>
      </c>
      <c r="F26" s="82"/>
    </row>
    <row r="27" spans="1:6" ht="20.25" customHeight="1" x14ac:dyDescent="0.25">
      <c r="A27" s="94" t="s">
        <v>106</v>
      </c>
      <c r="B27" s="95">
        <f>B19+B25+B26+B24</f>
        <v>5453.0750080399994</v>
      </c>
      <c r="C27" s="95">
        <f t="shared" ref="C27:E27" si="3">C19+C25+C26+C24</f>
        <v>5482.2255830404001</v>
      </c>
      <c r="D27" s="95">
        <f t="shared" si="3"/>
        <v>5515.4496637908032</v>
      </c>
      <c r="E27" s="95">
        <f t="shared" si="3"/>
        <v>5596.6967199976662</v>
      </c>
      <c r="F27" s="78"/>
    </row>
    <row r="28" spans="1:6" ht="15" x14ac:dyDescent="0.2">
      <c r="A28" s="88" t="s">
        <v>302</v>
      </c>
      <c r="B28" s="89">
        <f>B15-B27</f>
        <v>0</v>
      </c>
      <c r="C28" s="89">
        <f t="shared" ref="C28:E28" si="4">C15-C27</f>
        <v>0</v>
      </c>
      <c r="D28" s="89">
        <f t="shared" si="4"/>
        <v>0</v>
      </c>
      <c r="E28" s="89">
        <f t="shared" si="4"/>
        <v>0</v>
      </c>
      <c r="F28" s="90"/>
    </row>
    <row r="30" spans="1:6" ht="118.5" customHeight="1" x14ac:dyDescent="0.2">
      <c r="A30" s="116" t="s">
        <v>304</v>
      </c>
      <c r="B30" s="117"/>
      <c r="C30" s="117"/>
      <c r="D30" s="117"/>
      <c r="E30" s="117"/>
      <c r="F30" s="118"/>
    </row>
    <row r="31" spans="1:6" ht="103.5" customHeight="1" x14ac:dyDescent="0.2">
      <c r="A31" s="116" t="s">
        <v>305</v>
      </c>
      <c r="B31" s="117"/>
      <c r="C31" s="117"/>
      <c r="D31" s="117"/>
      <c r="E31" s="117"/>
      <c r="F31" s="118"/>
    </row>
    <row r="32" spans="1:6" x14ac:dyDescent="0.2">
      <c r="A32" s="92"/>
      <c r="B32" s="92"/>
      <c r="C32" s="92"/>
      <c r="D32" s="92"/>
      <c r="E32" s="92"/>
      <c r="F32" s="92"/>
    </row>
    <row r="33" spans="1:6" ht="14.25" x14ac:dyDescent="0.2">
      <c r="A33" s="93" t="s">
        <v>303</v>
      </c>
      <c r="B33" s="92"/>
      <c r="C33" s="92"/>
      <c r="D33" s="92"/>
      <c r="E33" s="92"/>
      <c r="F33" s="92"/>
    </row>
  </sheetData>
  <mergeCells count="5">
    <mergeCell ref="A2:F2"/>
    <mergeCell ref="A3:F3"/>
    <mergeCell ref="A4:F4"/>
    <mergeCell ref="A30:F30"/>
    <mergeCell ref="A31:F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117C8289EC6846922D7AD0AE758DB1" ma:contentTypeVersion="15" ma:contentTypeDescription="Crear nuevo documento." ma:contentTypeScope="" ma:versionID="b63f3bcf0276a04e22e39c3f0d1614ce">
  <xsd:schema xmlns:xsd="http://www.w3.org/2001/XMLSchema" xmlns:xs="http://www.w3.org/2001/XMLSchema" xmlns:p="http://schemas.microsoft.com/office/2006/metadata/properties" xmlns:ns3="e142e62d-f4b1-4a71-b622-57f775f2bca3" xmlns:ns4="bd473624-898d-45c1-9f2f-d8e776dc9725" targetNamespace="http://schemas.microsoft.com/office/2006/metadata/properties" ma:root="true" ma:fieldsID="aa729d9a8929a85eaaff3f24f849356d" ns3:_="" ns4:_="">
    <xsd:import namespace="e142e62d-f4b1-4a71-b622-57f775f2bca3"/>
    <xsd:import namespace="bd473624-898d-45c1-9f2f-d8e776dc9725"/>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2e62d-f4b1-4a71-b622-57f775f2bca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d473624-898d-45c1-9f2f-d8e776dc972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A6526-E67F-47AA-8ED5-EDECE804C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42e62d-f4b1-4a71-b622-57f775f2bca3"/>
    <ds:schemaRef ds:uri="bd473624-898d-45c1-9f2f-d8e776dc9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ED5735-924B-4076-852E-C6D3CFA38D3C}">
  <ds:schemaRefs>
    <ds:schemaRef ds:uri="http://www.w3.org/XML/1998/namespace"/>
    <ds:schemaRef ds:uri="http://purl.org/dc/terms/"/>
    <ds:schemaRef ds:uri="http://purl.org/dc/elements/1.1/"/>
    <ds:schemaRef ds:uri="http://schemas.microsoft.com/office/infopath/2007/PartnerControls"/>
    <ds:schemaRef ds:uri="bd473624-898d-45c1-9f2f-d8e776dc9725"/>
    <ds:schemaRef ds:uri="e142e62d-f4b1-4a71-b622-57f775f2bca3"/>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7C86BCD-9191-4937-AC52-30F6B47945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Presupuesto Detallado</vt:lpstr>
      <vt:lpstr>Inversiones</vt:lpstr>
      <vt:lpstr>Plurianual</vt:lpstr>
      <vt:lpstr>Inversiones!Área_de_impresión</vt:lpstr>
      <vt:lpstr>'Presupuesto Detallado'!Área_de_impresión</vt:lpstr>
      <vt:lpstr>Inversiones!Títulos_a_imprimir</vt:lpstr>
      <vt:lpstr>'Presupuesto Detallado'!Títulos_a_imprimir</vt:lpstr>
    </vt:vector>
  </TitlesOfParts>
  <Company>SUGEF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Arriola</dc:creator>
  <cp:lastModifiedBy>ARIAS GONZALEZ JOSE EZEQUIEL</cp:lastModifiedBy>
  <cp:lastPrinted>2019-07-29T22:31:02Z</cp:lastPrinted>
  <dcterms:created xsi:type="dcterms:W3CDTF">2002-08-01T17:03:10Z</dcterms:created>
  <dcterms:modified xsi:type="dcterms:W3CDTF">2020-09-25T17:05:05Z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0x010100F4117C8289EC6846922D7AD0AE758DB1</vt:lpwstr>
  </property>
</Properties>
</file>